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S\IHSS PUBLIC AUTHORITY\121719\"/>
    </mc:Choice>
  </mc:AlternateContent>
  <bookViews>
    <workbookView xWindow="0" yWindow="0" windowWidth="14370" windowHeight="8715" tabRatio="1000" activeTab="2"/>
  </bookViews>
  <sheets>
    <sheet name="IHSS DETAIL" sheetId="2" r:id="rId1"/>
    <sheet name="19-20 Salary Detail" sheetId="6" r:id="rId2"/>
    <sheet name="IHSS SUMMARY" sheetId="1" r:id="rId3"/>
    <sheet name="schedule13" sheetId="3" r:id="rId4"/>
    <sheet name="schedule14" sheetId="4" r:id="rId5"/>
    <sheet name="schedule15" sheetId="5" r:id="rId6"/>
  </sheets>
  <definedNames>
    <definedName name="_xlnm.Print_Area" localSheetId="0">'IHSS DETAIL'!$A$1:$Q$47</definedName>
    <definedName name="_xlnm.Print_Area" localSheetId="2">'IHSS SUMMARY'!$A$1:$O$41</definedName>
    <definedName name="_xlnm.Print_Area" localSheetId="3">schedule13!$A$1:$K$44</definedName>
    <definedName name="_xlnm.Print_Area" localSheetId="4">schedule14!$A$1:$K$56</definedName>
    <definedName name="_xlnm.Print_Titles" localSheetId="0">'IHSS DETAIL'!$1:$6</definedName>
  </definedNames>
  <calcPr calcId="162913"/>
</workbook>
</file>

<file path=xl/calcChain.xml><?xml version="1.0" encoding="utf-8"?>
<calcChain xmlns="http://schemas.openxmlformats.org/spreadsheetml/2006/main">
  <c r="N46" i="2" l="1"/>
  <c r="L35" i="1" l="1"/>
  <c r="L20" i="1"/>
  <c r="L24" i="1" s="1"/>
  <c r="N33" i="2" l="1"/>
  <c r="N42" i="2"/>
  <c r="N38" i="2"/>
  <c r="N15" i="2"/>
  <c r="K20" i="1" l="1"/>
  <c r="K24" i="1" s="1"/>
  <c r="M15" i="2"/>
  <c r="K30" i="1" s="1"/>
  <c r="M42" i="2"/>
  <c r="M38" i="2"/>
  <c r="K32" i="1" s="1"/>
  <c r="M33" i="2"/>
  <c r="K31" i="1" s="1"/>
  <c r="H51" i="5"/>
  <c r="E75" i="4"/>
  <c r="D75" i="4"/>
  <c r="F74" i="4"/>
  <c r="F75" i="4" s="1"/>
  <c r="G75" i="4" s="1"/>
  <c r="K75" i="4" s="1"/>
  <c r="C49" i="3" s="1"/>
  <c r="K35" i="1" l="1"/>
  <c r="E49" i="3"/>
  <c r="F49" i="3" s="1"/>
  <c r="M46" i="2"/>
  <c r="K39" i="1" l="1"/>
  <c r="G49" i="3"/>
  <c r="I49" i="3" s="1"/>
  <c r="J49" i="3" s="1"/>
  <c r="J32" i="1"/>
  <c r="J20" i="1"/>
  <c r="J24" i="1" s="1"/>
  <c r="L42" i="2"/>
  <c r="L38" i="2"/>
  <c r="L33" i="2"/>
  <c r="J31" i="1" s="1"/>
  <c r="L5" i="6" l="1"/>
  <c r="N3" i="6"/>
  <c r="O3" i="6" s="1"/>
  <c r="M3" i="6"/>
  <c r="L3" i="6"/>
  <c r="N2" i="6"/>
  <c r="N5" i="6" s="1"/>
  <c r="M2" i="6"/>
  <c r="M5" i="6" s="1"/>
  <c r="L10" i="2" s="1"/>
  <c r="O2" i="6" l="1"/>
  <c r="H3" i="6"/>
  <c r="G3" i="6" s="1"/>
  <c r="J3" i="6" s="1"/>
  <c r="K3" i="6" s="1"/>
  <c r="G2" i="6"/>
  <c r="H2" i="6" s="1"/>
  <c r="J2" i="6" s="1"/>
  <c r="K2" i="6" l="1"/>
  <c r="K5" i="6" s="1"/>
  <c r="J5" i="6"/>
  <c r="L9" i="2" s="1"/>
  <c r="L15" i="2" s="1"/>
  <c r="P2" i="6"/>
  <c r="P5" i="6" s="1"/>
  <c r="O5" i="6"/>
  <c r="L12" i="2" s="1"/>
  <c r="P3" i="6"/>
  <c r="H49" i="5"/>
  <c r="I9" i="2"/>
  <c r="I15" i="2" s="1"/>
  <c r="I47" i="3"/>
  <c r="F47" i="3"/>
  <c r="E69" i="4"/>
  <c r="D69" i="4"/>
  <c r="F68" i="4"/>
  <c r="F69" i="4" s="1"/>
  <c r="G69" i="4" s="1"/>
  <c r="K69" i="4" s="1"/>
  <c r="K42" i="2"/>
  <c r="J42" i="2"/>
  <c r="K38" i="2"/>
  <c r="I32" i="1" s="1"/>
  <c r="J38" i="2"/>
  <c r="K33" i="2"/>
  <c r="I31" i="1" s="1"/>
  <c r="J33" i="2"/>
  <c r="K15" i="2"/>
  <c r="J15" i="2"/>
  <c r="I20" i="1"/>
  <c r="I24" i="1" s="1"/>
  <c r="H20" i="1"/>
  <c r="H24" i="1"/>
  <c r="I42" i="2"/>
  <c r="I38" i="2"/>
  <c r="H32" i="1" s="1"/>
  <c r="I33" i="2"/>
  <c r="H31" i="1" s="1"/>
  <c r="H33" i="2"/>
  <c r="G31" i="1" s="1"/>
  <c r="H42" i="2"/>
  <c r="H38" i="2"/>
  <c r="G32" i="1" s="1"/>
  <c r="H15" i="2"/>
  <c r="G20" i="1"/>
  <c r="G24" i="1" s="1"/>
  <c r="H47" i="5"/>
  <c r="I45" i="3"/>
  <c r="E64" i="4"/>
  <c r="D64" i="4"/>
  <c r="F63" i="4"/>
  <c r="F64" i="4" s="1"/>
  <c r="G64" i="4" s="1"/>
  <c r="K64" i="4" s="1"/>
  <c r="C45" i="3" s="1"/>
  <c r="F45" i="3" s="1"/>
  <c r="J45" i="3" s="1"/>
  <c r="G42" i="2"/>
  <c r="G38" i="2"/>
  <c r="F32" i="1" s="1"/>
  <c r="G33" i="2"/>
  <c r="G15" i="2"/>
  <c r="F42" i="2"/>
  <c r="F38" i="2"/>
  <c r="E32" i="1" s="1"/>
  <c r="F33" i="2"/>
  <c r="E31" i="1" s="1"/>
  <c r="F15" i="2"/>
  <c r="E30" i="1" s="1"/>
  <c r="H45" i="5"/>
  <c r="I43" i="3"/>
  <c r="E59" i="4"/>
  <c r="D59" i="4"/>
  <c r="F58" i="4"/>
  <c r="F59" i="4" s="1"/>
  <c r="G59" i="4" s="1"/>
  <c r="K59" i="4" s="1"/>
  <c r="C43" i="3" s="1"/>
  <c r="F43" i="3" s="1"/>
  <c r="J43" i="3" s="1"/>
  <c r="F20" i="1"/>
  <c r="F24" i="1" s="1"/>
  <c r="E20" i="1"/>
  <c r="E24" i="1" s="1"/>
  <c r="I16" i="6"/>
  <c r="D20" i="1"/>
  <c r="D24" i="1" s="1"/>
  <c r="E42" i="2"/>
  <c r="E38" i="2"/>
  <c r="D32" i="1" s="1"/>
  <c r="E33" i="2"/>
  <c r="D31" i="1" s="1"/>
  <c r="E15" i="2"/>
  <c r="D30" i="1" s="1"/>
  <c r="I41" i="3"/>
  <c r="J41" i="3" s="1"/>
  <c r="F41" i="3"/>
  <c r="G35" i="3"/>
  <c r="G32" i="3"/>
  <c r="G26" i="3"/>
  <c r="I26" i="3" s="1"/>
  <c r="G23" i="3"/>
  <c r="I23" i="3"/>
  <c r="J23" i="3" s="1"/>
  <c r="G20" i="3"/>
  <c r="I20" i="3"/>
  <c r="G17" i="3"/>
  <c r="I17" i="3" s="1"/>
  <c r="J17" i="3" s="1"/>
  <c r="I54" i="4"/>
  <c r="I49" i="4"/>
  <c r="I44" i="4"/>
  <c r="I38" i="4"/>
  <c r="I33" i="4"/>
  <c r="H43" i="5"/>
  <c r="C15" i="1"/>
  <c r="C16" i="1"/>
  <c r="C14" i="1"/>
  <c r="D42" i="2"/>
  <c r="D38" i="2"/>
  <c r="C32" i="1" s="1"/>
  <c r="D33" i="2"/>
  <c r="C31" i="1" s="1"/>
  <c r="D9" i="2"/>
  <c r="D15" i="2"/>
  <c r="C30" i="1" s="1"/>
  <c r="C42" i="2"/>
  <c r="C38" i="2"/>
  <c r="B32" i="1" s="1"/>
  <c r="C33" i="2"/>
  <c r="B31" i="1" s="1"/>
  <c r="C15" i="2"/>
  <c r="I38" i="3"/>
  <c r="J38" i="3" s="1"/>
  <c r="F38" i="3"/>
  <c r="B14" i="1"/>
  <c r="B20" i="1" s="1"/>
  <c r="B24" i="1" s="1"/>
  <c r="H40" i="5"/>
  <c r="E54" i="4"/>
  <c r="D54" i="4"/>
  <c r="F53" i="4"/>
  <c r="F54" i="4"/>
  <c r="G54" i="4"/>
  <c r="K54" i="4" s="1"/>
  <c r="E49" i="4"/>
  <c r="D49" i="4"/>
  <c r="F48" i="4"/>
  <c r="F49" i="4" s="1"/>
  <c r="G49" i="4" s="1"/>
  <c r="K49" i="4" s="1"/>
  <c r="H37" i="5"/>
  <c r="I35" i="3"/>
  <c r="F35" i="3"/>
  <c r="E44" i="4"/>
  <c r="D44" i="4"/>
  <c r="F43" i="4"/>
  <c r="F44" i="4" s="1"/>
  <c r="G44" i="4" s="1"/>
  <c r="K44" i="4" s="1"/>
  <c r="E38" i="4"/>
  <c r="D38" i="4"/>
  <c r="F37" i="4"/>
  <c r="E33" i="4"/>
  <c r="D33" i="4"/>
  <c r="F32" i="4"/>
  <c r="F33" i="4" s="1"/>
  <c r="G33" i="4" s="1"/>
  <c r="K33" i="4" s="1"/>
  <c r="F17" i="3"/>
  <c r="H34" i="5"/>
  <c r="H31" i="5"/>
  <c r="H28" i="5"/>
  <c r="H25" i="5"/>
  <c r="H22" i="5"/>
  <c r="H19" i="5"/>
  <c r="H16" i="5"/>
  <c r="K27" i="4"/>
  <c r="K24" i="4"/>
  <c r="K21" i="4"/>
  <c r="K18" i="4"/>
  <c r="K15" i="4"/>
  <c r="I32" i="3"/>
  <c r="F32" i="3"/>
  <c r="J32" i="3" s="1"/>
  <c r="I29" i="3"/>
  <c r="J29" i="3" s="1"/>
  <c r="F29" i="3"/>
  <c r="F26" i="3"/>
  <c r="F23" i="3"/>
  <c r="F20" i="3"/>
  <c r="J20" i="3" s="1"/>
  <c r="I14" i="3"/>
  <c r="F14" i="3"/>
  <c r="J14" i="3" s="1"/>
  <c r="J35" i="3"/>
  <c r="F38" i="4"/>
  <c r="G38" i="4" s="1"/>
  <c r="B30" i="1"/>
  <c r="L46" i="2" l="1"/>
  <c r="J30" i="1"/>
  <c r="J35" i="1" s="1"/>
  <c r="J39" i="1" s="1"/>
  <c r="K38" i="4"/>
  <c r="J46" i="2"/>
  <c r="H30" i="1"/>
  <c r="I46" i="2"/>
  <c r="F30" i="1"/>
  <c r="G46" i="2"/>
  <c r="G30" i="1"/>
  <c r="H46" i="2"/>
  <c r="J26" i="3"/>
  <c r="I30" i="1"/>
  <c r="I35" i="1" s="1"/>
  <c r="I39" i="1" s="1"/>
  <c r="K46" i="2"/>
  <c r="C20" i="1"/>
  <c r="C24" i="1" s="1"/>
  <c r="F31" i="1"/>
  <c r="F35" i="1" s="1"/>
  <c r="F39" i="1" s="1"/>
  <c r="C46" i="2"/>
  <c r="F46" i="2"/>
  <c r="E35" i="1"/>
  <c r="E39" i="1" s="1"/>
  <c r="B35" i="1"/>
  <c r="B39" i="1" s="1"/>
  <c r="D35" i="1"/>
  <c r="D39" i="1" s="1"/>
  <c r="E46" i="2"/>
  <c r="G35" i="1"/>
  <c r="G39" i="1" s="1"/>
  <c r="C35" i="1"/>
  <c r="C39" i="1" s="1"/>
  <c r="D46" i="2"/>
  <c r="H35" i="1"/>
  <c r="H39" i="1" s="1"/>
  <c r="J47" i="3"/>
</calcChain>
</file>

<file path=xl/sharedStrings.xml><?xml version="1.0" encoding="utf-8"?>
<sst xmlns="http://schemas.openxmlformats.org/spreadsheetml/2006/main" count="365" uniqueCount="165">
  <si>
    <t>State Controller</t>
  </si>
  <si>
    <t>County Budget Act</t>
  </si>
  <si>
    <t>SUMMARY BY SOURCE</t>
  </si>
  <si>
    <t>ACTUAL</t>
  </si>
  <si>
    <t>SCHEDULE 16</t>
  </si>
  <si>
    <t>GOVERNED BY:</t>
  </si>
  <si>
    <t>FUND BALANCE</t>
  </si>
  <si>
    <t>TOTAL ADDITIONAL FINANCING SOURCES</t>
  </si>
  <si>
    <t>TOTAL AVAILABLE FINANCING</t>
  </si>
  <si>
    <t xml:space="preserve">   SUMMARY OF FINANCING REQUIREMENTS</t>
  </si>
  <si>
    <t xml:space="preserve">   TOTAL SERVICES AND SUPPLIES</t>
  </si>
  <si>
    <t>TOTAL FINANCING USES</t>
  </si>
  <si>
    <t>PROVISIONS FOR RESERVES</t>
  </si>
  <si>
    <t>TOTAL FINANCING REQUIREMENTS</t>
  </si>
  <si>
    <t>SERVICES AND SUPPLIES</t>
  </si>
  <si>
    <t>TOTAL SERVICES AND SUPPLIES</t>
  </si>
  <si>
    <t>ADDITIONAL FINANCING SOURCES:</t>
  </si>
  <si>
    <t>FINANCING USES:</t>
  </si>
  <si>
    <t xml:space="preserve">   TOTAL SALARIES AND BENEFITS</t>
  </si>
  <si>
    <t xml:space="preserve">   TOTAL FIXED ASSETS</t>
  </si>
  <si>
    <t>SALARIES AND EMPLOYEE BENEFITS</t>
  </si>
  <si>
    <t>SALARIES AND WAGES</t>
  </si>
  <si>
    <t>EMPLOYEE GROUP INSURANCE</t>
  </si>
  <si>
    <t>WORKER'S COMPENSATION INSURANCE</t>
  </si>
  <si>
    <t>TOTAL SALARIES/EMPLOYEE BENEFITS</t>
  </si>
  <si>
    <t>COMMUNICATIONS</t>
  </si>
  <si>
    <t>OFFICE EXPENSES</t>
  </si>
  <si>
    <t>PROFESSIONAL &amp; SPECIALIZED SERVICES</t>
  </si>
  <si>
    <t>FIXED ASSETS</t>
  </si>
  <si>
    <t>TOTAL FIXED ASSETS</t>
  </si>
  <si>
    <t xml:space="preserve">  LOCAL BOARD</t>
  </si>
  <si>
    <t>EQUIPMENT</t>
  </si>
  <si>
    <t>RENTS, LEASES - BLDGS/IMPROVEMENTS</t>
  </si>
  <si>
    <t>UTILITIES</t>
  </si>
  <si>
    <t>FICA/MEDICARE - EMPLOYER'S SHARE</t>
  </si>
  <si>
    <t>STAFF TRAINING</t>
  </si>
  <si>
    <t>TOTAL - IHSS PUBLIC AUTHORITY</t>
  </si>
  <si>
    <t>MAINTENANCE - STRUCTURES</t>
  </si>
  <si>
    <t>UNEMPLOYMENT INSURANCE</t>
  </si>
  <si>
    <t>INSURANCE &amp; BONDS</t>
  </si>
  <si>
    <t>BENEFITS FOR IHSS PROVIDERS</t>
  </si>
  <si>
    <t>MEMBERSHIPS</t>
  </si>
  <si>
    <t>GSA COST ALLOCATION</t>
  </si>
  <si>
    <t>MINOR EQUIPMENT</t>
  </si>
  <si>
    <t>SPECIAL DEPARTMENT EXPENSE</t>
  </si>
  <si>
    <t>RENTS, LEASES - EQUIPMENT</t>
  </si>
  <si>
    <t>CANCELLATION OF RESERVES</t>
  </si>
  <si>
    <t>TOTAL OTHER CHARGES</t>
  </si>
  <si>
    <t>OTHER CHARGES</t>
  </si>
  <si>
    <t xml:space="preserve">   TOTAL OTHER CHARGES</t>
  </si>
  <si>
    <t>2010-2011</t>
  </si>
  <si>
    <t>RECOMMENDED</t>
  </si>
  <si>
    <t>ADOPTED</t>
  </si>
  <si>
    <t>2011-2012</t>
  </si>
  <si>
    <t>MAINTENANCE - PROGRAMS</t>
  </si>
  <si>
    <t>2012-2013</t>
  </si>
  <si>
    <t>AVAILABLE FINANCING:</t>
  </si>
  <si>
    <t>FINANCING REQUIREMENTS</t>
  </si>
  <si>
    <t>SCHEDULE 13</t>
  </si>
  <si>
    <t>LOCAL BOARDS</t>
  </si>
  <si>
    <t>CANCELLATION</t>
  </si>
  <si>
    <t>PROVISIONS</t>
  </si>
  <si>
    <t>FUND</t>
  </si>
  <si>
    <t>OF</t>
  </si>
  <si>
    <t>ESTIMATED</t>
  </si>
  <si>
    <t>FOR</t>
  </si>
  <si>
    <t>BALANCE</t>
  </si>
  <si>
    <t>PRIOR YEAR</t>
  </si>
  <si>
    <t>ADDITIONAL</t>
  </si>
  <si>
    <t>TOTAL</t>
  </si>
  <si>
    <t>RESERVES</t>
  </si>
  <si>
    <t>AVAILABLE</t>
  </si>
  <si>
    <t>RESERVES/</t>
  </si>
  <si>
    <t>FINANCING</t>
  </si>
  <si>
    <t>AND/OR</t>
  </si>
  <si>
    <t>Diff</t>
  </si>
  <si>
    <t xml:space="preserve">               DISTRICT</t>
  </si>
  <si>
    <t xml:space="preserve"> JUNE 30, 20XX</t>
  </si>
  <si>
    <t>DESIGNATIONS</t>
  </si>
  <si>
    <t>SOURCES</t>
  </si>
  <si>
    <t>USES</t>
  </si>
  <si>
    <t>REQUIREMENTS</t>
  </si>
  <si>
    <t>Req-Fin</t>
  </si>
  <si>
    <t>2006-2007</t>
  </si>
  <si>
    <t>2007-2008</t>
  </si>
  <si>
    <t>2008-2009</t>
  </si>
  <si>
    <t xml:space="preserve">2009-2010 </t>
  </si>
  <si>
    <t>2013-2014</t>
  </si>
  <si>
    <t xml:space="preserve"> </t>
  </si>
  <si>
    <t>LESS:  FUND BALANCE</t>
  </si>
  <si>
    <t>SCHEDULE 14</t>
  </si>
  <si>
    <t>RESERVES/DESIGNATED AT JUNE 30, XXXX</t>
  </si>
  <si>
    <t>UNRESERVED/</t>
  </si>
  <si>
    <t>PER AUDITOR</t>
  </si>
  <si>
    <t>GENERAL</t>
  </si>
  <si>
    <t>UNDESIGNATED</t>
  </si>
  <si>
    <t>AS OF</t>
  </si>
  <si>
    <t>&amp; OTHER</t>
  </si>
  <si>
    <t>ENCUMBRANCES</t>
  </si>
  <si>
    <t xml:space="preserve">ACTUAL </t>
  </si>
  <si>
    <t>ACCOUNT</t>
  </si>
  <si>
    <t>TREAS</t>
  </si>
  <si>
    <t>OUT</t>
  </si>
  <si>
    <t>TB - OS</t>
  </si>
  <si>
    <t>NUMBER</t>
  </si>
  <si>
    <t>STANDING</t>
  </si>
  <si>
    <t>INCREASES OR NEW</t>
  </si>
  <si>
    <t>SCHEDULE 15</t>
  </si>
  <si>
    <t>RESERVES/DESIGNATIONS</t>
  </si>
  <si>
    <t>AMOUNT MADE AVAILABLE FOR</t>
  </si>
  <si>
    <t>TO BE PROVIDED IN</t>
  </si>
  <si>
    <t>FINANCING BY CANCELLATION</t>
  </si>
  <si>
    <t>BUDGET YEAR</t>
  </si>
  <si>
    <t>APPROVED/</t>
  </si>
  <si>
    <t>BY THE</t>
  </si>
  <si>
    <t>GOVERNING</t>
  </si>
  <si>
    <t>BOARD</t>
  </si>
  <si>
    <t>IHSS</t>
  </si>
  <si>
    <t>2014-2015</t>
  </si>
  <si>
    <t>Fund 89800</t>
  </si>
  <si>
    <t>2015-2016</t>
  </si>
  <si>
    <t xml:space="preserve">  44100- INTEREST</t>
  </si>
  <si>
    <t xml:space="preserve">  45165 - STATE REALIGNMENT</t>
  </si>
  <si>
    <t xml:space="preserve">  45240 - STATE AID OTHER</t>
  </si>
  <si>
    <t xml:space="preserve">  45630 - FEDERAL OTHER</t>
  </si>
  <si>
    <t xml:space="preserve">  47890 - MISCELLANEOUS </t>
  </si>
  <si>
    <t>STEP</t>
  </si>
  <si>
    <t>IHSS Public Authority</t>
  </si>
  <si>
    <t>GROSS</t>
  </si>
  <si>
    <t>Public Authority Manager</t>
  </si>
  <si>
    <t>Dept. 8980</t>
  </si>
  <si>
    <t>2016-2017</t>
  </si>
  <si>
    <t>2017-2018</t>
  </si>
  <si>
    <t>Provider Specialist</t>
  </si>
  <si>
    <t>Total</t>
  </si>
  <si>
    <t>2018-2019</t>
  </si>
  <si>
    <t>DEFERRED COMP COUNTY MATCH</t>
  </si>
  <si>
    <t>Damiano, Lorraine</t>
  </si>
  <si>
    <t>Menard, Marcia</t>
  </si>
  <si>
    <t>DEPT #</t>
  </si>
  <si>
    <t>DEPT</t>
  </si>
  <si>
    <t>NAME</t>
  </si>
  <si>
    <t>BARG UNIT</t>
  </si>
  <si>
    <t>JOB TITLE</t>
  </si>
  <si>
    <t>PAY RATE</t>
  </si>
  <si>
    <t>2%</t>
  </si>
  <si>
    <t>BASE HOURS</t>
  </si>
  <si>
    <t>FICA/ MEDICARE</t>
  </si>
  <si>
    <t>OTHER PAY</t>
  </si>
  <si>
    <t>DEFERRED COMP</t>
  </si>
  <si>
    <t>HEALTH INS 2019</t>
  </si>
  <si>
    <t>GU</t>
  </si>
  <si>
    <t>HEALTH '20 EST 2.84% INC</t>
  </si>
  <si>
    <t>2019-2020</t>
  </si>
  <si>
    <t>REQUESTED</t>
  </si>
  <si>
    <t>ADJUSTMENT</t>
  </si>
  <si>
    <t>for training materials</t>
  </si>
  <si>
    <t xml:space="preserve">  46009 -CHARGES FOR SERVICES</t>
  </si>
  <si>
    <t>GSA AND IN COUNTY TRAVEL</t>
  </si>
  <si>
    <t>Home Visit Mileage</t>
  </si>
  <si>
    <t>Provider training/Provider Supplies</t>
  </si>
  <si>
    <t>Marketing</t>
  </si>
  <si>
    <t>Nexus annual fee/maintenance</t>
  </si>
  <si>
    <t>Nexus Softward purchase/PC for ETS mandate</t>
  </si>
  <si>
    <t xml:space="preserve">PA Staff Training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</si>
</sst>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9" fontId="2" fillId="0" borderId="0" xfId="0" applyNumberFormat="1" applyFont="1"/>
    <xf numFmtId="39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right"/>
    </xf>
    <xf numFmtId="43" fontId="2" fillId="0" borderId="0" xfId="1" applyFont="1"/>
    <xf numFmtId="0" fontId="2" fillId="0" borderId="0" xfId="0" applyFont="1" applyFill="1"/>
    <xf numFmtId="39" fontId="2" fillId="0" borderId="0" xfId="0" applyNumberFormat="1" applyFont="1" applyFill="1"/>
    <xf numFmtId="0" fontId="4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2" fillId="0" borderId="0" xfId="0" applyFont="1" applyBorder="1"/>
    <xf numFmtId="39" fontId="2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/>
    <xf numFmtId="39" fontId="2" fillId="0" borderId="0" xfId="0" applyNumberFormat="1" applyFont="1" applyAlignment="1"/>
    <xf numFmtId="39" fontId="2" fillId="0" borderId="0" xfId="0" applyNumberFormat="1" applyFont="1" applyBorder="1"/>
    <xf numFmtId="43" fontId="2" fillId="0" borderId="1" xfId="1" applyFont="1" applyBorder="1"/>
    <xf numFmtId="43" fontId="2" fillId="0" borderId="0" xfId="1" applyFont="1" applyBorder="1"/>
    <xf numFmtId="0" fontId="3" fillId="0" borderId="0" xfId="0" applyFont="1"/>
    <xf numFmtId="39" fontId="3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1" applyNumberFormat="1" applyFont="1"/>
    <xf numFmtId="39" fontId="3" fillId="0" borderId="0" xfId="0" applyNumberFormat="1" applyFont="1" applyFill="1"/>
    <xf numFmtId="39" fontId="3" fillId="0" borderId="0" xfId="0" applyNumberFormat="1" applyFont="1"/>
    <xf numFmtId="43" fontId="3" fillId="0" borderId="0" xfId="1" applyFont="1"/>
    <xf numFmtId="0" fontId="3" fillId="0" borderId="0" xfId="0" applyNumberFormat="1" applyFont="1"/>
    <xf numFmtId="43" fontId="3" fillId="0" borderId="0" xfId="0" applyNumberFormat="1" applyFont="1"/>
    <xf numFmtId="39" fontId="3" fillId="0" borderId="0" xfId="0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43" fontId="0" fillId="0" borderId="0" xfId="1" applyFont="1"/>
    <xf numFmtId="43" fontId="1" fillId="0" borderId="0" xfId="1"/>
    <xf numFmtId="44" fontId="0" fillId="0" borderId="0" xfId="2" applyFont="1"/>
    <xf numFmtId="43" fontId="3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wrapText="1"/>
    </xf>
    <xf numFmtId="4" fontId="5" fillId="0" borderId="2" xfId="0" quotePrefix="1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43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43" fontId="1" fillId="0" borderId="0" xfId="0" applyNumberFormat="1" applyFont="1"/>
    <xf numFmtId="39" fontId="1" fillId="0" borderId="0" xfId="0" applyNumberFormat="1" applyFont="1"/>
    <xf numFmtId="43" fontId="3" fillId="0" borderId="0" xfId="0" applyNumberFormat="1" applyFont="1" applyFill="1"/>
    <xf numFmtId="39" fontId="3" fillId="0" borderId="0" xfId="1" applyNumberFormat="1" applyFont="1" applyFill="1"/>
    <xf numFmtId="0" fontId="3" fillId="0" borderId="0" xfId="0" applyFont="1" applyFill="1"/>
    <xf numFmtId="4" fontId="3" fillId="0" borderId="0" xfId="0" applyNumberFormat="1" applyFont="1"/>
    <xf numFmtId="4" fontId="1" fillId="0" borderId="0" xfId="1" applyNumberFormat="1" applyFont="1"/>
    <xf numFmtId="0" fontId="1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0" zoomScaleNormal="100" workbookViewId="0">
      <selection activeCell="P46" sqref="P46"/>
    </sheetView>
  </sheetViews>
  <sheetFormatPr defaultRowHeight="12.75" x14ac:dyDescent="0.2"/>
  <cols>
    <col min="1" max="1" width="14.140625" style="29" bestFit="1" customWidth="1"/>
    <col min="2" max="2" width="41.85546875" style="30" bestFit="1" customWidth="1"/>
    <col min="3" max="3" width="15.7109375" style="30" hidden="1" customWidth="1"/>
    <col min="4" max="6" width="15.7109375" style="27" hidden="1" customWidth="1"/>
    <col min="7" max="8" width="15.7109375" style="30" hidden="1" customWidth="1"/>
    <col min="9" max="9" width="15.7109375" style="30" customWidth="1"/>
    <col min="10" max="10" width="15.7109375" style="30" hidden="1" customWidth="1"/>
    <col min="11" max="13" width="15.7109375" style="30" customWidth="1"/>
    <col min="14" max="14" width="13" style="30" customWidth="1"/>
    <col min="15" max="15" width="10.5703125" style="30" customWidth="1"/>
    <col min="16" max="16" width="11.28515625" style="30" bestFit="1" customWidth="1"/>
    <col min="17" max="18" width="9.140625" style="30"/>
    <col min="19" max="19" width="4" style="30" customWidth="1"/>
    <col min="20" max="16384" width="9.140625" style="30"/>
  </cols>
  <sheetData>
    <row r="1" spans="1:15" x14ac:dyDescent="0.2">
      <c r="A1" s="29" t="s">
        <v>0</v>
      </c>
      <c r="E1" s="22"/>
      <c r="F1" s="22"/>
      <c r="G1" s="22"/>
      <c r="I1" s="22"/>
      <c r="L1" s="22"/>
      <c r="M1" s="22" t="s">
        <v>4</v>
      </c>
    </row>
    <row r="2" spans="1:15" x14ac:dyDescent="0.2">
      <c r="A2" s="29" t="s">
        <v>1</v>
      </c>
      <c r="E2" s="22"/>
      <c r="F2" s="22"/>
      <c r="G2" s="22"/>
      <c r="I2" s="22"/>
      <c r="L2" s="22"/>
      <c r="M2" s="22" t="s">
        <v>5</v>
      </c>
    </row>
    <row r="3" spans="1:15" x14ac:dyDescent="0.2">
      <c r="E3" s="22"/>
      <c r="F3" s="22"/>
      <c r="G3" s="22"/>
      <c r="I3" s="22"/>
      <c r="L3" s="22"/>
      <c r="M3" s="22" t="s">
        <v>30</v>
      </c>
    </row>
    <row r="5" spans="1:15" x14ac:dyDescent="0.2">
      <c r="C5" s="23" t="s">
        <v>52</v>
      </c>
      <c r="D5" s="23" t="s">
        <v>3</v>
      </c>
      <c r="E5" s="23" t="s">
        <v>3</v>
      </c>
      <c r="F5" s="23" t="s">
        <v>3</v>
      </c>
      <c r="G5" s="23" t="s">
        <v>3</v>
      </c>
      <c r="H5" s="23" t="s">
        <v>3</v>
      </c>
      <c r="I5" s="23" t="s">
        <v>3</v>
      </c>
      <c r="J5" s="23" t="s">
        <v>3</v>
      </c>
      <c r="K5" s="23" t="s">
        <v>3</v>
      </c>
      <c r="L5" s="45" t="s">
        <v>51</v>
      </c>
      <c r="M5" s="37" t="s">
        <v>52</v>
      </c>
      <c r="N5" s="47" t="s">
        <v>154</v>
      </c>
      <c r="O5" s="47"/>
    </row>
    <row r="6" spans="1:15" x14ac:dyDescent="0.2">
      <c r="C6" s="23" t="s">
        <v>118</v>
      </c>
      <c r="D6" s="23" t="s">
        <v>118</v>
      </c>
      <c r="E6" s="23" t="s">
        <v>120</v>
      </c>
      <c r="F6" s="23" t="s">
        <v>131</v>
      </c>
      <c r="G6" s="23" t="s">
        <v>131</v>
      </c>
      <c r="H6" s="23" t="s">
        <v>132</v>
      </c>
      <c r="I6" s="23" t="s">
        <v>132</v>
      </c>
      <c r="J6" s="23" t="s">
        <v>135</v>
      </c>
      <c r="K6" s="23" t="s">
        <v>135</v>
      </c>
      <c r="L6" s="46" t="s">
        <v>153</v>
      </c>
      <c r="M6" s="46" t="s">
        <v>153</v>
      </c>
      <c r="N6" s="47" t="s">
        <v>155</v>
      </c>
    </row>
    <row r="8" spans="1:15" x14ac:dyDescent="0.2">
      <c r="B8" s="30" t="s">
        <v>20</v>
      </c>
    </row>
    <row r="9" spans="1:15" x14ac:dyDescent="0.2">
      <c r="A9" s="29">
        <v>50100</v>
      </c>
      <c r="B9" s="30" t="s">
        <v>21</v>
      </c>
      <c r="C9" s="25">
        <v>71597.52</v>
      </c>
      <c r="D9" s="27">
        <f>61653.43+3514.73+6429.38</f>
        <v>71597.540000000008</v>
      </c>
      <c r="E9" s="27">
        <v>80012.160000000003</v>
      </c>
      <c r="F9" s="27">
        <v>82145</v>
      </c>
      <c r="G9" s="27">
        <v>111020.76</v>
      </c>
      <c r="H9" s="27">
        <v>143061</v>
      </c>
      <c r="I9" s="27">
        <f>100813.49+2609.23+4162.66+5612.39+2103.18+122.38</f>
        <v>115423.33</v>
      </c>
      <c r="J9" s="27">
        <v>112025</v>
      </c>
      <c r="K9" s="27">
        <v>120714.69</v>
      </c>
      <c r="L9" s="27">
        <f>'19-20 Salary Detail'!J5+'19-20 Salary Detail'!L5</f>
        <v>104931</v>
      </c>
      <c r="M9" s="27">
        <v>104931</v>
      </c>
      <c r="N9" s="27">
        <v>104931</v>
      </c>
    </row>
    <row r="10" spans="1:15" x14ac:dyDescent="0.2">
      <c r="A10" s="29">
        <v>50200</v>
      </c>
      <c r="B10" s="30" t="s">
        <v>136</v>
      </c>
      <c r="C10" s="25"/>
      <c r="G10" s="27">
        <v>0</v>
      </c>
      <c r="H10" s="27"/>
      <c r="I10" s="27">
        <v>3600</v>
      </c>
      <c r="J10" s="27">
        <v>10800</v>
      </c>
      <c r="K10" s="27">
        <v>6000</v>
      </c>
      <c r="L10" s="27">
        <f>'19-20 Salary Detail'!M5</f>
        <v>5400</v>
      </c>
      <c r="M10" s="27">
        <v>5400</v>
      </c>
      <c r="N10" s="27">
        <v>5400</v>
      </c>
    </row>
    <row r="11" spans="1:15" x14ac:dyDescent="0.2">
      <c r="A11" s="29">
        <v>50310</v>
      </c>
      <c r="B11" s="30" t="s">
        <v>34</v>
      </c>
      <c r="C11" s="25">
        <v>5477.21</v>
      </c>
      <c r="D11" s="27">
        <v>5398.54</v>
      </c>
      <c r="E11" s="27">
        <v>6026.25</v>
      </c>
      <c r="F11" s="27">
        <v>6284</v>
      </c>
      <c r="G11" s="27">
        <v>8415.08</v>
      </c>
      <c r="H11" s="27">
        <v>10480</v>
      </c>
      <c r="I11" s="27">
        <v>8845.9599999999991</v>
      </c>
      <c r="J11" s="27">
        <v>8900</v>
      </c>
      <c r="K11" s="27">
        <v>9533.82</v>
      </c>
      <c r="L11" s="27">
        <v>8400</v>
      </c>
      <c r="M11" s="27">
        <v>8400</v>
      </c>
      <c r="N11" s="27">
        <v>8400</v>
      </c>
    </row>
    <row r="12" spans="1:15" x14ac:dyDescent="0.2">
      <c r="A12" s="29">
        <v>50400</v>
      </c>
      <c r="B12" s="30" t="s">
        <v>22</v>
      </c>
      <c r="C12" s="25">
        <v>7878.63</v>
      </c>
      <c r="D12" s="27">
        <v>7628.58</v>
      </c>
      <c r="E12" s="27">
        <v>7437.5</v>
      </c>
      <c r="F12" s="27">
        <v>7452</v>
      </c>
      <c r="G12" s="27">
        <v>7334.28</v>
      </c>
      <c r="H12" s="27">
        <v>7554</v>
      </c>
      <c r="I12" s="27">
        <v>7249.21</v>
      </c>
      <c r="J12" s="27">
        <v>7200</v>
      </c>
      <c r="K12" s="27">
        <v>11850.97</v>
      </c>
      <c r="L12" s="27">
        <f>'19-20 Salary Detail'!O5</f>
        <v>15507</v>
      </c>
      <c r="M12" s="27">
        <v>15507</v>
      </c>
      <c r="N12" s="27">
        <v>15507</v>
      </c>
    </row>
    <row r="13" spans="1:15" x14ac:dyDescent="0.2">
      <c r="A13" s="29">
        <v>50500</v>
      </c>
      <c r="B13" s="30" t="s">
        <v>23</v>
      </c>
      <c r="C13" s="25">
        <v>800</v>
      </c>
      <c r="D13" s="27">
        <v>1029.5899999999999</v>
      </c>
      <c r="E13" s="27">
        <v>1330.74</v>
      </c>
      <c r="F13" s="27">
        <v>1390</v>
      </c>
      <c r="G13" s="27">
        <v>1354.5</v>
      </c>
      <c r="H13" s="27">
        <v>1900</v>
      </c>
      <c r="I13" s="27">
        <v>1690.98</v>
      </c>
      <c r="J13" s="27">
        <v>1300</v>
      </c>
      <c r="K13" s="27">
        <v>2378.3000000000002</v>
      </c>
      <c r="L13" s="27">
        <v>1850</v>
      </c>
      <c r="M13" s="27">
        <v>1850</v>
      </c>
      <c r="N13" s="27">
        <v>1850</v>
      </c>
    </row>
    <row r="14" spans="1:15" x14ac:dyDescent="0.2">
      <c r="A14" s="29">
        <v>50600</v>
      </c>
      <c r="B14" s="30" t="s">
        <v>38</v>
      </c>
      <c r="C14" s="25">
        <v>840</v>
      </c>
      <c r="D14" s="27">
        <v>434</v>
      </c>
      <c r="E14" s="27">
        <v>434</v>
      </c>
      <c r="F14" s="27">
        <v>626</v>
      </c>
      <c r="G14" s="27">
        <v>868</v>
      </c>
      <c r="H14" s="27">
        <v>940</v>
      </c>
      <c r="I14" s="27">
        <v>4061.96</v>
      </c>
      <c r="J14" s="27">
        <v>5000</v>
      </c>
      <c r="K14" s="27">
        <v>2886</v>
      </c>
      <c r="L14" s="27">
        <v>5000</v>
      </c>
      <c r="M14" s="27">
        <v>5000</v>
      </c>
      <c r="N14" s="27">
        <v>5000</v>
      </c>
    </row>
    <row r="15" spans="1:15" x14ac:dyDescent="0.2">
      <c r="B15" s="30" t="s">
        <v>24</v>
      </c>
      <c r="C15" s="27">
        <f t="shared" ref="C15:L15" si="0">SUM(C9:C14)</f>
        <v>86593.360000000015</v>
      </c>
      <c r="D15" s="27">
        <f t="shared" si="0"/>
        <v>86088.25</v>
      </c>
      <c r="E15" s="27">
        <f t="shared" si="0"/>
        <v>95240.650000000009</v>
      </c>
      <c r="F15" s="27">
        <f t="shared" si="0"/>
        <v>97897</v>
      </c>
      <c r="G15" s="27">
        <f t="shared" si="0"/>
        <v>128992.62</v>
      </c>
      <c r="H15" s="27">
        <f t="shared" si="0"/>
        <v>163935</v>
      </c>
      <c r="I15" s="27">
        <f t="shared" si="0"/>
        <v>140871.44</v>
      </c>
      <c r="J15" s="27">
        <f t="shared" si="0"/>
        <v>145225</v>
      </c>
      <c r="K15" s="27">
        <f t="shared" si="0"/>
        <v>153363.78</v>
      </c>
      <c r="L15" s="27">
        <f t="shared" si="0"/>
        <v>141088</v>
      </c>
      <c r="M15" s="27">
        <f t="shared" ref="M15:N15" si="1">SUM(M9:M14)</f>
        <v>141088</v>
      </c>
      <c r="N15" s="27">
        <f t="shared" si="1"/>
        <v>141088</v>
      </c>
    </row>
    <row r="16" spans="1:15" x14ac:dyDescent="0.2">
      <c r="G16" s="27"/>
      <c r="H16" s="27"/>
      <c r="I16" s="27"/>
      <c r="J16" s="27"/>
      <c r="K16" s="27"/>
      <c r="L16" s="27"/>
      <c r="M16" s="27"/>
    </row>
    <row r="17" spans="1:15" x14ac:dyDescent="0.2">
      <c r="B17" s="30" t="s">
        <v>14</v>
      </c>
      <c r="G17" s="27"/>
      <c r="H17" s="27"/>
      <c r="I17" s="27"/>
      <c r="J17" s="27"/>
      <c r="K17" s="27"/>
      <c r="L17" s="27"/>
      <c r="M17" s="27"/>
    </row>
    <row r="18" spans="1:15" x14ac:dyDescent="0.2">
      <c r="A18" s="29">
        <v>51200</v>
      </c>
      <c r="B18" s="30" t="s">
        <v>25</v>
      </c>
      <c r="C18" s="25">
        <v>600</v>
      </c>
      <c r="D18" s="27">
        <v>475</v>
      </c>
      <c r="E18" s="27">
        <v>526.38</v>
      </c>
      <c r="F18" s="27">
        <v>700</v>
      </c>
      <c r="G18" s="27">
        <v>590.20000000000005</v>
      </c>
      <c r="H18" s="27">
        <v>700</v>
      </c>
      <c r="I18" s="27">
        <v>698.91</v>
      </c>
      <c r="J18" s="27">
        <v>800</v>
      </c>
      <c r="K18" s="27">
        <v>669.32</v>
      </c>
      <c r="L18" s="27">
        <v>800</v>
      </c>
      <c r="M18" s="27">
        <v>800</v>
      </c>
      <c r="N18" s="27">
        <v>800</v>
      </c>
      <c r="O18" s="27"/>
    </row>
    <row r="19" spans="1:15" x14ac:dyDescent="0.2">
      <c r="A19" s="29">
        <v>51500</v>
      </c>
      <c r="B19" s="30" t="s">
        <v>39</v>
      </c>
      <c r="C19" s="25">
        <v>4050</v>
      </c>
      <c r="D19" s="27">
        <v>3902.04</v>
      </c>
      <c r="E19" s="27">
        <v>3795.09</v>
      </c>
      <c r="F19" s="27">
        <v>4250</v>
      </c>
      <c r="G19" s="27">
        <v>4139.38</v>
      </c>
      <c r="H19" s="27">
        <v>4450</v>
      </c>
      <c r="I19" s="27">
        <v>4431.1400000000003</v>
      </c>
      <c r="J19" s="27">
        <v>4900</v>
      </c>
      <c r="K19" s="27">
        <v>3851.45</v>
      </c>
      <c r="L19" s="27">
        <v>4900</v>
      </c>
      <c r="M19" s="27">
        <v>4900</v>
      </c>
      <c r="N19" s="27">
        <v>4900</v>
      </c>
      <c r="O19" s="27"/>
    </row>
    <row r="20" spans="1:15" x14ac:dyDescent="0.2">
      <c r="A20" s="29">
        <v>51760</v>
      </c>
      <c r="B20" s="30" t="s">
        <v>54</v>
      </c>
      <c r="C20" s="25">
        <v>1085</v>
      </c>
      <c r="D20" s="27">
        <v>1135.43</v>
      </c>
      <c r="E20" s="27">
        <v>566.77</v>
      </c>
      <c r="F20" s="27">
        <v>2000</v>
      </c>
      <c r="G20" s="27">
        <v>555.55999999999995</v>
      </c>
      <c r="H20" s="27">
        <v>800</v>
      </c>
      <c r="I20" s="27">
        <v>978.84</v>
      </c>
      <c r="J20" s="27">
        <v>1000</v>
      </c>
      <c r="K20" s="27">
        <v>921.92</v>
      </c>
      <c r="L20" s="27">
        <v>1230</v>
      </c>
      <c r="M20" s="27">
        <v>1230</v>
      </c>
      <c r="N20" s="27">
        <v>7415</v>
      </c>
      <c r="O20" s="48" t="s">
        <v>162</v>
      </c>
    </row>
    <row r="21" spans="1:15" x14ac:dyDescent="0.2">
      <c r="A21" s="29">
        <v>51800</v>
      </c>
      <c r="B21" s="30" t="s">
        <v>37</v>
      </c>
      <c r="C21" s="25">
        <v>50</v>
      </c>
      <c r="D21" s="27">
        <v>46.73</v>
      </c>
      <c r="E21" s="27">
        <v>39.78</v>
      </c>
      <c r="F21" s="27">
        <v>100</v>
      </c>
      <c r="G21" s="27">
        <v>40.119999999999997</v>
      </c>
      <c r="H21" s="27">
        <v>100</v>
      </c>
      <c r="I21" s="27">
        <v>31.93</v>
      </c>
      <c r="J21" s="27">
        <v>100</v>
      </c>
      <c r="K21" s="27">
        <v>48.84</v>
      </c>
      <c r="L21" s="27">
        <v>100</v>
      </c>
      <c r="M21" s="27">
        <v>100</v>
      </c>
      <c r="N21" s="27">
        <v>100</v>
      </c>
      <c r="O21" s="27"/>
    </row>
    <row r="22" spans="1:15" x14ac:dyDescent="0.2">
      <c r="A22" s="29">
        <v>52000</v>
      </c>
      <c r="B22" s="30" t="s">
        <v>41</v>
      </c>
      <c r="C22" s="25">
        <v>2375</v>
      </c>
      <c r="D22" s="27">
        <v>2200</v>
      </c>
      <c r="E22" s="27">
        <v>2931</v>
      </c>
      <c r="F22" s="27">
        <v>3300</v>
      </c>
      <c r="G22" s="27">
        <v>3260</v>
      </c>
      <c r="H22" s="27">
        <v>3300</v>
      </c>
      <c r="I22" s="27">
        <v>3294</v>
      </c>
      <c r="J22" s="27">
        <v>3500</v>
      </c>
      <c r="K22" s="27">
        <v>3064</v>
      </c>
      <c r="L22" s="27">
        <v>4000</v>
      </c>
      <c r="M22" s="27">
        <v>4000</v>
      </c>
      <c r="N22" s="27">
        <v>4000</v>
      </c>
      <c r="O22" s="27"/>
    </row>
    <row r="23" spans="1:15" x14ac:dyDescent="0.2">
      <c r="A23" s="29">
        <v>52200</v>
      </c>
      <c r="B23" s="30" t="s">
        <v>26</v>
      </c>
      <c r="C23" s="25">
        <v>2475</v>
      </c>
      <c r="D23" s="27">
        <v>2060.12</v>
      </c>
      <c r="E23" s="27">
        <v>2664.06</v>
      </c>
      <c r="F23" s="27">
        <v>3000</v>
      </c>
      <c r="G23" s="27">
        <v>2874.82</v>
      </c>
      <c r="H23" s="27">
        <v>1800</v>
      </c>
      <c r="I23" s="27">
        <v>2043.86</v>
      </c>
      <c r="J23" s="27">
        <v>1500</v>
      </c>
      <c r="K23" s="27">
        <v>1451.8</v>
      </c>
      <c r="L23" s="27">
        <v>2000</v>
      </c>
      <c r="M23" s="27">
        <v>2000</v>
      </c>
      <c r="N23" s="27">
        <v>5500</v>
      </c>
      <c r="O23" s="48" t="s">
        <v>156</v>
      </c>
    </row>
    <row r="24" spans="1:15" x14ac:dyDescent="0.2">
      <c r="A24" s="29">
        <v>52211</v>
      </c>
      <c r="B24" s="30" t="s">
        <v>42</v>
      </c>
      <c r="C24" s="25">
        <v>3900</v>
      </c>
      <c r="D24" s="27">
        <v>2380</v>
      </c>
      <c r="E24" s="27">
        <v>2228</v>
      </c>
      <c r="F24" s="27">
        <v>2600</v>
      </c>
      <c r="G24" s="27">
        <v>2161</v>
      </c>
      <c r="H24" s="27">
        <v>2982</v>
      </c>
      <c r="I24" s="27">
        <v>2982</v>
      </c>
      <c r="J24" s="27">
        <v>3200</v>
      </c>
      <c r="K24" s="27">
        <v>2912</v>
      </c>
      <c r="L24" s="27">
        <v>3819</v>
      </c>
      <c r="M24" s="27">
        <v>3819</v>
      </c>
      <c r="N24" s="27">
        <v>3819</v>
      </c>
      <c r="O24" s="27"/>
    </row>
    <row r="25" spans="1:15" x14ac:dyDescent="0.2">
      <c r="A25" s="29">
        <v>52300</v>
      </c>
      <c r="B25" s="30" t="s">
        <v>27</v>
      </c>
      <c r="C25" s="25">
        <v>1875</v>
      </c>
      <c r="D25" s="27">
        <v>1871.73</v>
      </c>
      <c r="E25" s="27">
        <v>417.3</v>
      </c>
      <c r="F25" s="27">
        <v>540</v>
      </c>
      <c r="G25" s="27">
        <v>1503.07</v>
      </c>
      <c r="H25" s="27">
        <v>1600</v>
      </c>
      <c r="I25" s="27">
        <v>1739.19</v>
      </c>
      <c r="J25" s="27">
        <v>2600</v>
      </c>
      <c r="K25" s="27">
        <v>2973.04</v>
      </c>
      <c r="L25" s="27">
        <v>2600</v>
      </c>
      <c r="M25" s="27">
        <v>2600</v>
      </c>
      <c r="N25" s="27">
        <v>5974</v>
      </c>
      <c r="O25" s="48" t="s">
        <v>161</v>
      </c>
    </row>
    <row r="26" spans="1:15" x14ac:dyDescent="0.2">
      <c r="A26" s="29">
        <v>52500</v>
      </c>
      <c r="B26" s="30" t="s">
        <v>45</v>
      </c>
      <c r="C26" s="25">
        <v>0</v>
      </c>
      <c r="D26" s="27">
        <v>0</v>
      </c>
      <c r="E26" s="27">
        <v>0</v>
      </c>
      <c r="F26" s="27">
        <v>0</v>
      </c>
      <c r="G26" s="27">
        <v>442.68</v>
      </c>
      <c r="H26" s="27">
        <v>2400</v>
      </c>
      <c r="I26" s="27">
        <v>2531.09</v>
      </c>
      <c r="J26" s="27">
        <v>1900</v>
      </c>
      <c r="K26" s="27">
        <v>2518.06</v>
      </c>
      <c r="L26" s="27">
        <v>2000</v>
      </c>
      <c r="M26" s="27">
        <v>2000</v>
      </c>
      <c r="N26" s="27">
        <v>2000</v>
      </c>
      <c r="O26" s="27"/>
    </row>
    <row r="27" spans="1:15" x14ac:dyDescent="0.2">
      <c r="A27" s="29">
        <v>52600</v>
      </c>
      <c r="B27" s="30" t="s">
        <v>32</v>
      </c>
      <c r="C27" s="25">
        <v>11500</v>
      </c>
      <c r="D27" s="27">
        <v>10845.03</v>
      </c>
      <c r="E27" s="27">
        <v>10941.37</v>
      </c>
      <c r="F27" s="27">
        <v>11000</v>
      </c>
      <c r="G27" s="27">
        <v>14940.47</v>
      </c>
      <c r="H27" s="27">
        <v>20512</v>
      </c>
      <c r="I27" s="27">
        <v>20548.03</v>
      </c>
      <c r="J27" s="27">
        <v>21378</v>
      </c>
      <c r="K27" s="27">
        <v>21111.16</v>
      </c>
      <c r="L27" s="27">
        <v>21936</v>
      </c>
      <c r="M27" s="27">
        <v>21936</v>
      </c>
      <c r="N27" s="27">
        <v>21936</v>
      </c>
      <c r="O27" s="27"/>
    </row>
    <row r="28" spans="1:15" x14ac:dyDescent="0.2">
      <c r="A28" s="29">
        <v>52700</v>
      </c>
      <c r="B28" s="30" t="s">
        <v>43</v>
      </c>
      <c r="C28" s="25">
        <v>0</v>
      </c>
      <c r="D28" s="27">
        <v>0</v>
      </c>
      <c r="E28" s="27">
        <v>0</v>
      </c>
      <c r="F28" s="27">
        <v>1000</v>
      </c>
      <c r="G28" s="27">
        <v>1860.47</v>
      </c>
      <c r="H28" s="27">
        <v>300</v>
      </c>
      <c r="I28" s="27">
        <v>115.35</v>
      </c>
      <c r="J28" s="27">
        <v>300</v>
      </c>
      <c r="K28" s="27">
        <v>0</v>
      </c>
      <c r="L28" s="27">
        <v>300</v>
      </c>
      <c r="M28" s="27">
        <v>300</v>
      </c>
      <c r="N28" s="27">
        <v>300</v>
      </c>
      <c r="O28" s="48"/>
    </row>
    <row r="29" spans="1:15" x14ac:dyDescent="0.2">
      <c r="A29" s="29">
        <v>52800</v>
      </c>
      <c r="B29" s="30" t="s">
        <v>44</v>
      </c>
      <c r="C29" s="25">
        <v>450</v>
      </c>
      <c r="D29" s="27">
        <v>725</v>
      </c>
      <c r="E29" s="27">
        <v>146.19</v>
      </c>
      <c r="F29" s="27">
        <v>900</v>
      </c>
      <c r="G29" s="27">
        <v>513.35</v>
      </c>
      <c r="H29" s="27">
        <v>500</v>
      </c>
      <c r="I29" s="27">
        <v>471.28</v>
      </c>
      <c r="J29" s="27">
        <v>500</v>
      </c>
      <c r="K29" s="27">
        <v>726.02</v>
      </c>
      <c r="L29" s="27">
        <v>500</v>
      </c>
      <c r="M29" s="27">
        <v>500</v>
      </c>
      <c r="N29" s="27">
        <v>6696</v>
      </c>
      <c r="O29" s="48" t="s">
        <v>160</v>
      </c>
    </row>
    <row r="30" spans="1:15" x14ac:dyDescent="0.2">
      <c r="A30" s="29">
        <v>52870</v>
      </c>
      <c r="B30" s="30" t="s">
        <v>35</v>
      </c>
      <c r="C30" s="25">
        <v>200</v>
      </c>
      <c r="D30" s="27">
        <v>0</v>
      </c>
      <c r="E30" s="27">
        <v>0</v>
      </c>
      <c r="F30" s="27">
        <v>200</v>
      </c>
      <c r="G30" s="27">
        <v>200</v>
      </c>
      <c r="H30" s="27">
        <v>200</v>
      </c>
      <c r="I30" s="27">
        <v>180</v>
      </c>
      <c r="J30" s="27">
        <v>200</v>
      </c>
      <c r="K30" s="27">
        <v>0</v>
      </c>
      <c r="L30" s="27">
        <v>200</v>
      </c>
      <c r="M30" s="27">
        <v>200</v>
      </c>
      <c r="N30" s="27">
        <v>500</v>
      </c>
      <c r="O30" s="48" t="s">
        <v>164</v>
      </c>
    </row>
    <row r="31" spans="1:15" x14ac:dyDescent="0.2">
      <c r="A31" s="54">
        <v>52900</v>
      </c>
      <c r="B31" s="47" t="s">
        <v>158</v>
      </c>
      <c r="C31" s="25"/>
      <c r="G31" s="27"/>
      <c r="H31" s="27"/>
      <c r="I31" s="27"/>
      <c r="J31" s="27"/>
      <c r="K31" s="27"/>
      <c r="L31" s="27"/>
      <c r="M31" s="27"/>
      <c r="N31" s="27">
        <v>1000</v>
      </c>
      <c r="O31" s="48" t="s">
        <v>159</v>
      </c>
    </row>
    <row r="32" spans="1:15" x14ac:dyDescent="0.2">
      <c r="A32" s="29">
        <v>53000</v>
      </c>
      <c r="B32" s="30" t="s">
        <v>33</v>
      </c>
      <c r="C32" s="25">
        <v>2300</v>
      </c>
      <c r="D32" s="27">
        <v>2319.75</v>
      </c>
      <c r="E32" s="27">
        <v>2355.96</v>
      </c>
      <c r="F32" s="27">
        <v>2500</v>
      </c>
      <c r="G32" s="27">
        <v>1579.92</v>
      </c>
      <c r="H32" s="27">
        <v>2700</v>
      </c>
      <c r="I32" s="27">
        <v>2371.33</v>
      </c>
      <c r="J32" s="27">
        <v>1700</v>
      </c>
      <c r="K32" s="27">
        <v>1605.24</v>
      </c>
      <c r="L32" s="27">
        <v>1700</v>
      </c>
      <c r="M32" s="27">
        <v>1700</v>
      </c>
      <c r="N32" s="27">
        <v>1700</v>
      </c>
      <c r="O32" s="27"/>
    </row>
    <row r="33" spans="1:20" x14ac:dyDescent="0.2">
      <c r="B33" s="30" t="s">
        <v>15</v>
      </c>
      <c r="C33" s="27">
        <f t="shared" ref="C33:L33" si="2">SUM(C18:C32)</f>
        <v>30860</v>
      </c>
      <c r="D33" s="27">
        <f t="shared" si="2"/>
        <v>27960.83</v>
      </c>
      <c r="E33" s="27">
        <f t="shared" si="2"/>
        <v>26611.899999999998</v>
      </c>
      <c r="F33" s="27">
        <f t="shared" si="2"/>
        <v>32090</v>
      </c>
      <c r="G33" s="27">
        <f t="shared" si="2"/>
        <v>34661.039999999994</v>
      </c>
      <c r="H33" s="27">
        <f t="shared" si="2"/>
        <v>42344</v>
      </c>
      <c r="I33" s="27">
        <f t="shared" si="2"/>
        <v>42416.95</v>
      </c>
      <c r="J33" s="27">
        <f t="shared" si="2"/>
        <v>43578</v>
      </c>
      <c r="K33" s="27">
        <f t="shared" si="2"/>
        <v>41852.849999999991</v>
      </c>
      <c r="L33" s="27">
        <f t="shared" si="2"/>
        <v>46085</v>
      </c>
      <c r="M33" s="27">
        <f t="shared" ref="M33" si="3">SUM(M18:M32)</f>
        <v>46085</v>
      </c>
      <c r="N33" s="27">
        <f t="shared" ref="N33" si="4">SUM(N18:N32)</f>
        <v>66640</v>
      </c>
      <c r="O33" s="47"/>
    </row>
    <row r="34" spans="1:20" x14ac:dyDescent="0.2">
      <c r="C34" s="27"/>
      <c r="G34" s="27"/>
      <c r="H34" s="27"/>
      <c r="I34" s="27"/>
      <c r="J34" s="27"/>
      <c r="K34" s="27"/>
      <c r="L34" s="27"/>
      <c r="M34" s="27"/>
      <c r="O34" s="47"/>
    </row>
    <row r="35" spans="1:20" x14ac:dyDescent="0.2">
      <c r="C35" s="27"/>
      <c r="G35" s="27"/>
      <c r="H35" s="27"/>
      <c r="I35" s="27"/>
      <c r="J35" s="27"/>
      <c r="K35" s="27"/>
      <c r="L35" s="27"/>
      <c r="M35" s="27"/>
    </row>
    <row r="36" spans="1:20" x14ac:dyDescent="0.2">
      <c r="B36" s="30" t="s">
        <v>48</v>
      </c>
      <c r="C36" s="27"/>
      <c r="G36" s="27"/>
      <c r="H36" s="27"/>
      <c r="I36" s="27"/>
      <c r="J36" s="27"/>
      <c r="K36" s="27"/>
      <c r="L36" s="27"/>
      <c r="M36" s="27"/>
      <c r="P36" s="47"/>
    </row>
    <row r="37" spans="1:20" x14ac:dyDescent="0.2">
      <c r="A37" s="29">
        <v>54009</v>
      </c>
      <c r="B37" s="49" t="s">
        <v>40</v>
      </c>
      <c r="C37" s="25">
        <v>80000</v>
      </c>
      <c r="D37" s="27">
        <v>78788.639999999999</v>
      </c>
      <c r="E37" s="27">
        <v>81837.009999999995</v>
      </c>
      <c r="F37" s="27">
        <v>84416</v>
      </c>
      <c r="G37" s="27">
        <v>72457.41</v>
      </c>
      <c r="H37" s="27">
        <v>84416</v>
      </c>
      <c r="I37" s="27">
        <v>89106.2</v>
      </c>
      <c r="J37" s="27">
        <v>90000</v>
      </c>
      <c r="K37" s="27">
        <v>80430.070000000007</v>
      </c>
      <c r="L37" s="27">
        <v>90000</v>
      </c>
      <c r="M37" s="26">
        <v>90000</v>
      </c>
      <c r="N37" s="26">
        <v>90000</v>
      </c>
      <c r="O37" s="47"/>
      <c r="Q37" s="49"/>
      <c r="R37" s="49"/>
      <c r="S37" s="49"/>
      <c r="T37" s="49"/>
    </row>
    <row r="38" spans="1:20" x14ac:dyDescent="0.2">
      <c r="B38" s="30" t="s">
        <v>47</v>
      </c>
      <c r="C38" s="27">
        <f t="shared" ref="C38:H38" si="5">SUM(C37)</f>
        <v>80000</v>
      </c>
      <c r="D38" s="27">
        <f t="shared" si="5"/>
        <v>78788.639999999999</v>
      </c>
      <c r="E38" s="27">
        <f t="shared" si="5"/>
        <v>81837.009999999995</v>
      </c>
      <c r="F38" s="27">
        <f t="shared" si="5"/>
        <v>84416</v>
      </c>
      <c r="G38" s="27">
        <f t="shared" si="5"/>
        <v>72457.41</v>
      </c>
      <c r="H38" s="27">
        <f t="shared" si="5"/>
        <v>84416</v>
      </c>
      <c r="I38" s="27">
        <f>SUM(I37)</f>
        <v>89106.2</v>
      </c>
      <c r="J38" s="27">
        <f t="shared" ref="J38" si="6">SUM(J37)</f>
        <v>90000</v>
      </c>
      <c r="K38" s="27">
        <f>SUM(K37)</f>
        <v>80430.070000000007</v>
      </c>
      <c r="L38" s="27">
        <f>SUM(L37)</f>
        <v>90000</v>
      </c>
      <c r="M38" s="27">
        <f>SUM(M37)</f>
        <v>90000</v>
      </c>
      <c r="N38" s="27">
        <f>SUM(N37)</f>
        <v>90000</v>
      </c>
      <c r="P38" s="47"/>
      <c r="Q38" s="49"/>
      <c r="R38" s="49"/>
      <c r="S38" s="49"/>
      <c r="T38" s="49"/>
    </row>
    <row r="39" spans="1:20" x14ac:dyDescent="0.2">
      <c r="G39" s="27"/>
      <c r="H39" s="27"/>
      <c r="I39" s="27"/>
      <c r="J39" s="27"/>
      <c r="K39" s="27"/>
      <c r="L39" s="27"/>
      <c r="M39" s="27"/>
      <c r="O39" s="47"/>
      <c r="Q39" s="49"/>
      <c r="R39" s="49"/>
      <c r="S39" s="49"/>
      <c r="T39" s="49"/>
    </row>
    <row r="40" spans="1:20" x14ac:dyDescent="0.2">
      <c r="B40" s="30" t="s">
        <v>28</v>
      </c>
      <c r="G40" s="27"/>
      <c r="H40" s="27"/>
      <c r="I40" s="27"/>
      <c r="J40" s="27"/>
      <c r="K40" s="27"/>
      <c r="L40" s="27"/>
      <c r="M40" s="27"/>
      <c r="P40" s="47"/>
    </row>
    <row r="41" spans="1:20" x14ac:dyDescent="0.2">
      <c r="A41" s="29">
        <v>56200</v>
      </c>
      <c r="B41" s="30" t="s">
        <v>31</v>
      </c>
      <c r="C41" s="31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11650</v>
      </c>
      <c r="O41" s="47" t="s">
        <v>163</v>
      </c>
    </row>
    <row r="42" spans="1:20" x14ac:dyDescent="0.2">
      <c r="B42" s="30" t="s">
        <v>29</v>
      </c>
      <c r="C42" s="27">
        <f t="shared" ref="C42:H42" si="7">SUM(C41:C41)</f>
        <v>0</v>
      </c>
      <c r="D42" s="27">
        <f t="shared" si="7"/>
        <v>0</v>
      </c>
      <c r="E42" s="27">
        <f t="shared" si="7"/>
        <v>0</v>
      </c>
      <c r="F42" s="27">
        <f t="shared" si="7"/>
        <v>0</v>
      </c>
      <c r="G42" s="27">
        <f t="shared" si="7"/>
        <v>0</v>
      </c>
      <c r="H42" s="27">
        <f t="shared" si="7"/>
        <v>0</v>
      </c>
      <c r="I42" s="27">
        <f>SUM(I41:I41)</f>
        <v>0</v>
      </c>
      <c r="J42" s="27">
        <f t="shared" ref="J42" si="8">SUM(J41:J41)</f>
        <v>0</v>
      </c>
      <c r="K42" s="27">
        <f>SUM(K41:K41)</f>
        <v>0</v>
      </c>
      <c r="L42" s="27">
        <f>SUM(L41:L41)</f>
        <v>0</v>
      </c>
      <c r="M42" s="27">
        <f>SUM(M41:M41)</f>
        <v>0</v>
      </c>
      <c r="N42" s="27">
        <f>SUM(N41:N41)</f>
        <v>11650</v>
      </c>
    </row>
    <row r="43" spans="1:20" x14ac:dyDescent="0.2">
      <c r="G43" s="27"/>
      <c r="H43" s="27"/>
      <c r="I43" s="27"/>
      <c r="J43" s="27"/>
      <c r="K43" s="27"/>
      <c r="L43" s="27"/>
      <c r="M43" s="27"/>
    </row>
    <row r="44" spans="1:20" x14ac:dyDescent="0.2">
      <c r="C44" s="27"/>
      <c r="G44" s="27"/>
      <c r="H44" s="27"/>
      <c r="I44" s="27"/>
      <c r="J44" s="27"/>
      <c r="K44" s="27"/>
      <c r="L44" s="27"/>
      <c r="M44" s="27"/>
    </row>
    <row r="45" spans="1:20" x14ac:dyDescent="0.2">
      <c r="G45" s="27"/>
      <c r="H45" s="27"/>
      <c r="I45" s="27"/>
      <c r="J45" s="27"/>
      <c r="K45" s="27"/>
      <c r="L45" s="27"/>
      <c r="M45" s="27"/>
    </row>
    <row r="46" spans="1:20" x14ac:dyDescent="0.2">
      <c r="B46" s="30" t="s">
        <v>36</v>
      </c>
      <c r="C46" s="27" t="e">
        <f>C15+C33+C38+C42+#REF!+#REF!+#REF!</f>
        <v>#REF!</v>
      </c>
      <c r="D46" s="27" t="e">
        <f>D15+D33+D38+D42+#REF!+#REF!+#REF!</f>
        <v>#REF!</v>
      </c>
      <c r="E46" s="27" t="e">
        <f>E15+E33+E38+E42+#REF!+#REF!+#REF!</f>
        <v>#REF!</v>
      </c>
      <c r="F46" s="27" t="e">
        <f>F15+F33+F38+F42+#REF!+#REF!+#REF!</f>
        <v>#REF!</v>
      </c>
      <c r="G46" s="27">
        <f>G15+G33+G38+G42</f>
        <v>236111.06999999998</v>
      </c>
      <c r="H46" s="27">
        <f t="shared" ref="H46:L46" si="9">H15+H33+H38+H42</f>
        <v>290695</v>
      </c>
      <c r="I46" s="27">
        <f t="shared" si="9"/>
        <v>272394.59000000003</v>
      </c>
      <c r="J46" s="27">
        <f t="shared" si="9"/>
        <v>278803</v>
      </c>
      <c r="K46" s="27">
        <f t="shared" si="9"/>
        <v>275646.7</v>
      </c>
      <c r="L46" s="27">
        <f t="shared" si="9"/>
        <v>277173</v>
      </c>
      <c r="M46" s="27">
        <f t="shared" ref="M46" si="10">M15+M33+M38+M42</f>
        <v>277173</v>
      </c>
      <c r="N46" s="27">
        <f>SUM(N42,N38,N33,N15)</f>
        <v>309378</v>
      </c>
      <c r="O46" s="47"/>
    </row>
    <row r="48" spans="1:20" x14ac:dyDescent="0.2">
      <c r="A48" s="29" t="s">
        <v>119</v>
      </c>
    </row>
    <row r="49" spans="1:1" x14ac:dyDescent="0.2">
      <c r="A49" s="29" t="s">
        <v>130</v>
      </c>
    </row>
  </sheetData>
  <phoneticPr fontId="0" type="noConversion"/>
  <printOptions horizontalCentered="1"/>
  <pageMargins left="0.5" right="0.5" top="1.5" bottom="0.5" header="0.5" footer="0.5"/>
  <pageSetup scale="72" orientation="landscape" r:id="rId1"/>
  <headerFooter alignWithMargins="0">
    <oddHeader xml:space="preserve">&amp;C&amp;8COUNTY OF AMADOR
STATE OF CALIFORNIA
IHSS PUBLIC AUTHORITY BUDGET DETAIL
FISCAL YEAR 2019-2020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zoomScaleNormal="100" workbookViewId="0">
      <selection activeCell="P3" sqref="P3"/>
    </sheetView>
  </sheetViews>
  <sheetFormatPr defaultRowHeight="12.75" x14ac:dyDescent="0.2"/>
  <cols>
    <col min="1" max="1" width="10.85546875" customWidth="1"/>
    <col min="2" max="2" width="24.7109375" customWidth="1"/>
    <col min="3" max="3" width="23.85546875" customWidth="1"/>
    <col min="4" max="4" width="12.140625" style="32" customWidth="1"/>
    <col min="5" max="5" width="22.28515625" style="32" bestFit="1" customWidth="1"/>
    <col min="6" max="6" width="9.140625" style="33"/>
    <col min="7" max="7" width="13" style="33" customWidth="1"/>
    <col min="8" max="8" width="11.140625" style="35" customWidth="1"/>
    <col min="9" max="9" width="12" style="28" customWidth="1"/>
    <col min="10" max="10" width="11.140625" style="35" customWidth="1"/>
    <col min="11" max="11" width="14.85546875" customWidth="1"/>
    <col min="12" max="12" width="9.140625" style="44"/>
    <col min="13" max="13" width="16.85546875" style="44" customWidth="1"/>
    <col min="14" max="14" width="12" style="44" customWidth="1"/>
    <col min="15" max="15" width="11.28515625" style="44" customWidth="1"/>
    <col min="16" max="16" width="10.140625" style="44" bestFit="1" customWidth="1"/>
  </cols>
  <sheetData>
    <row r="1" spans="1:16" s="43" customFormat="1" ht="38.25" x14ac:dyDescent="0.2">
      <c r="A1" s="40" t="s">
        <v>139</v>
      </c>
      <c r="B1" s="40" t="s">
        <v>140</v>
      </c>
      <c r="C1" s="40" t="s">
        <v>141</v>
      </c>
      <c r="D1" s="40" t="s">
        <v>142</v>
      </c>
      <c r="E1" s="40" t="s">
        <v>143</v>
      </c>
      <c r="F1" s="41" t="s">
        <v>144</v>
      </c>
      <c r="G1" s="41" t="s">
        <v>126</v>
      </c>
      <c r="H1" s="42" t="s">
        <v>145</v>
      </c>
      <c r="I1" s="41" t="s">
        <v>146</v>
      </c>
      <c r="J1" s="41" t="s">
        <v>128</v>
      </c>
      <c r="K1" s="41" t="s">
        <v>147</v>
      </c>
      <c r="L1" s="41" t="s">
        <v>148</v>
      </c>
      <c r="M1" s="41" t="s">
        <v>149</v>
      </c>
      <c r="N1" s="41" t="s">
        <v>150</v>
      </c>
      <c r="O1" s="41" t="s">
        <v>152</v>
      </c>
      <c r="P1" s="41" t="s">
        <v>69</v>
      </c>
    </row>
    <row r="2" spans="1:16" ht="12.75" customHeight="1" x14ac:dyDescent="0.2">
      <c r="A2" s="21">
        <v>8980</v>
      </c>
      <c r="B2" s="39" t="s">
        <v>127</v>
      </c>
      <c r="C2" s="39" t="s">
        <v>137</v>
      </c>
      <c r="D2" s="39" t="s">
        <v>151</v>
      </c>
      <c r="E2" s="21" t="s">
        <v>129</v>
      </c>
      <c r="F2" s="36">
        <v>35.020000000000003</v>
      </c>
      <c r="G2" s="32">
        <f>F2*1.05</f>
        <v>36.771000000000008</v>
      </c>
      <c r="H2" s="32">
        <f>G2*1.02</f>
        <v>37.506420000000006</v>
      </c>
      <c r="I2" s="33">
        <v>2088</v>
      </c>
      <c r="J2" s="34">
        <f>(F2*I2*1/12)+(G2*I2*2/12)+(H2*I2*9/12)</f>
        <v>77624.841720000011</v>
      </c>
      <c r="K2" s="35">
        <f>(J2+L2+M2)*0.0765</f>
        <v>6213.7003915800005</v>
      </c>
      <c r="M2" s="44">
        <f>300*12</f>
        <v>3600</v>
      </c>
      <c r="N2" s="44">
        <f>1271.67*12</f>
        <v>15260.04</v>
      </c>
      <c r="O2" s="44">
        <f>N2*1.0142</f>
        <v>15476.732568000001</v>
      </c>
      <c r="P2" s="44">
        <f>SUM(J2:M2)+O2</f>
        <v>102915.27467958002</v>
      </c>
    </row>
    <row r="3" spans="1:16" ht="12.75" customHeight="1" x14ac:dyDescent="0.2">
      <c r="A3" s="21">
        <v>8980</v>
      </c>
      <c r="B3" s="39" t="s">
        <v>127</v>
      </c>
      <c r="C3" s="39" t="s">
        <v>138</v>
      </c>
      <c r="D3" s="39" t="s">
        <v>151</v>
      </c>
      <c r="E3" s="21" t="s">
        <v>133</v>
      </c>
      <c r="F3" s="36">
        <v>22.25</v>
      </c>
      <c r="G3" s="32">
        <f>H3*1.05</f>
        <v>23.829750000000001</v>
      </c>
      <c r="H3" s="32">
        <f>F3*1.02</f>
        <v>22.695</v>
      </c>
      <c r="I3" s="33">
        <v>1044</v>
      </c>
      <c r="J3" s="34">
        <f>(F3*I3*3/12)+(G3*I3*7/12)+(H3*I3*2/12)</f>
        <v>24268.497750000002</v>
      </c>
      <c r="K3" s="35">
        <f>(J3+L3+M3)*0.0765</f>
        <v>2226.6501378750004</v>
      </c>
      <c r="L3" s="44">
        <f>2.91*I3</f>
        <v>3038.04</v>
      </c>
      <c r="M3" s="44">
        <f>300*(1044/2088)*12</f>
        <v>1800</v>
      </c>
      <c r="N3" s="44">
        <f>2.52*12</f>
        <v>30.240000000000002</v>
      </c>
      <c r="O3" s="44">
        <f>N3*1.0142</f>
        <v>30.669408000000001</v>
      </c>
      <c r="P3" s="44">
        <f>SUM(J3:M3)+O3</f>
        <v>31363.857295875005</v>
      </c>
    </row>
    <row r="4" spans="1:16" ht="15" customHeight="1" x14ac:dyDescent="0.2">
      <c r="B4" s="21"/>
      <c r="D4"/>
      <c r="F4" s="32"/>
      <c r="H4" s="34"/>
      <c r="I4" s="35"/>
      <c r="J4" s="28"/>
    </row>
    <row r="5" spans="1:16" ht="15" customHeight="1" x14ac:dyDescent="0.2">
      <c r="A5" t="s">
        <v>134</v>
      </c>
      <c r="D5"/>
      <c r="F5" s="32"/>
      <c r="H5" s="38"/>
      <c r="I5" s="38"/>
      <c r="J5" s="38">
        <f>ROUND(SUM(J2:J4),0)</f>
        <v>101893</v>
      </c>
      <c r="K5" s="38">
        <f t="shared" ref="K5:P5" si="0">ROUND(SUM(K2:K4),0)</f>
        <v>8440</v>
      </c>
      <c r="L5" s="38">
        <f t="shared" si="0"/>
        <v>3038</v>
      </c>
      <c r="M5" s="38">
        <f t="shared" si="0"/>
        <v>5400</v>
      </c>
      <c r="N5" s="38">
        <f t="shared" si="0"/>
        <v>15290</v>
      </c>
      <c r="O5" s="38">
        <f t="shared" si="0"/>
        <v>15507</v>
      </c>
      <c r="P5" s="38">
        <f t="shared" si="0"/>
        <v>134279</v>
      </c>
    </row>
    <row r="6" spans="1:16" ht="15" customHeight="1" x14ac:dyDescent="0.2">
      <c r="G6" s="35"/>
    </row>
    <row r="7" spans="1:16" ht="12.75" customHeight="1" x14ac:dyDescent="0.2">
      <c r="G7" s="34"/>
    </row>
    <row r="8" spans="1:16" ht="12.75" customHeight="1" x14ac:dyDescent="0.2">
      <c r="G8" s="34"/>
    </row>
    <row r="9" spans="1:16" ht="12.75" customHeight="1" x14ac:dyDescent="0.2">
      <c r="A9" s="21"/>
      <c r="G9" s="34"/>
    </row>
    <row r="10" spans="1:16" ht="12.75" customHeight="1" x14ac:dyDescent="0.2">
      <c r="A10" s="21"/>
      <c r="G10" s="34"/>
    </row>
    <row r="11" spans="1:16" ht="12.75" customHeight="1" x14ac:dyDescent="0.2">
      <c r="C11" s="21"/>
      <c r="G11" s="34"/>
    </row>
    <row r="12" spans="1:16" ht="12.75" customHeight="1" x14ac:dyDescent="0.2">
      <c r="C12" s="21"/>
      <c r="G12" s="34"/>
    </row>
    <row r="13" spans="1:16" ht="12.75" customHeight="1" x14ac:dyDescent="0.2">
      <c r="A13" s="21"/>
      <c r="G13" s="34"/>
    </row>
    <row r="14" spans="1:16" ht="12.75" customHeight="1" x14ac:dyDescent="0.2">
      <c r="A14" s="21"/>
      <c r="B14" s="21"/>
      <c r="C14" s="21"/>
      <c r="G14" s="34"/>
    </row>
    <row r="15" spans="1:16" x14ac:dyDescent="0.2">
      <c r="A15" s="21"/>
      <c r="G15" s="34"/>
      <c r="H15" s="34"/>
      <c r="I15" s="34"/>
      <c r="J15" s="34"/>
    </row>
    <row r="16" spans="1:16" x14ac:dyDescent="0.2">
      <c r="G16" s="34"/>
      <c r="H16" s="34"/>
      <c r="I16" s="34">
        <f>SUM(I6:I15)</f>
        <v>0</v>
      </c>
      <c r="J16" s="34"/>
    </row>
    <row r="20" spans="1:10" x14ac:dyDescent="0.2">
      <c r="A20" s="21"/>
      <c r="B20" s="21"/>
      <c r="C20" s="21"/>
      <c r="G20" s="34"/>
      <c r="H20" s="34"/>
      <c r="I20" s="34"/>
      <c r="J20" s="34"/>
    </row>
    <row r="21" spans="1:10" x14ac:dyDescent="0.2">
      <c r="A21" s="21"/>
      <c r="B21" s="21"/>
      <c r="C21" s="21"/>
      <c r="G21" s="34"/>
      <c r="H21" s="34"/>
      <c r="I21" s="34"/>
      <c r="J21" s="34"/>
    </row>
    <row r="22" spans="1:10" x14ac:dyDescent="0.2">
      <c r="A22" s="21"/>
      <c r="B22" s="21"/>
      <c r="C22" s="21"/>
      <c r="G22" s="34"/>
    </row>
    <row r="23" spans="1:10" x14ac:dyDescent="0.2">
      <c r="A23" s="21"/>
      <c r="B23" s="21"/>
      <c r="C23" s="21"/>
      <c r="G23" s="34"/>
    </row>
  </sheetData>
  <pageMargins left="0.25" right="0.25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Normal="100" workbookViewId="0">
      <selection activeCell="P44" sqref="P44"/>
    </sheetView>
  </sheetViews>
  <sheetFormatPr defaultRowHeight="12.75" x14ac:dyDescent="0.2"/>
  <cols>
    <col min="1" max="1" width="42.28515625" style="21" bestFit="1" customWidth="1"/>
    <col min="2" max="5" width="15.7109375" style="27" hidden="1" customWidth="1"/>
    <col min="6" max="7" width="15.7109375" style="21" hidden="1" customWidth="1"/>
    <col min="8" max="11" width="15.7109375" style="21" customWidth="1"/>
    <col min="12" max="12" width="13.28515625" style="21" bestFit="1" customWidth="1"/>
    <col min="13" max="14" width="9.140625" style="21"/>
    <col min="15" max="15" width="3.140625" style="21" customWidth="1"/>
    <col min="16" max="16384" width="9.140625" style="21"/>
  </cols>
  <sheetData>
    <row r="1" spans="1:12" x14ac:dyDescent="0.2">
      <c r="A1" s="21" t="s">
        <v>0</v>
      </c>
      <c r="B1" s="22" t="s">
        <v>4</v>
      </c>
      <c r="F1" s="22"/>
      <c r="H1" s="22"/>
      <c r="I1" s="22"/>
      <c r="J1" s="22"/>
      <c r="K1" s="22" t="s">
        <v>4</v>
      </c>
    </row>
    <row r="2" spans="1:12" x14ac:dyDescent="0.2">
      <c r="A2" s="21" t="s">
        <v>1</v>
      </c>
      <c r="B2" s="22" t="s">
        <v>5</v>
      </c>
      <c r="F2" s="22"/>
      <c r="H2" s="22"/>
      <c r="I2" s="22"/>
      <c r="J2" s="22"/>
      <c r="K2" s="22" t="s">
        <v>5</v>
      </c>
    </row>
    <row r="3" spans="1:12" x14ac:dyDescent="0.2">
      <c r="B3" s="22" t="s">
        <v>30</v>
      </c>
      <c r="F3" s="22"/>
      <c r="H3" s="22"/>
      <c r="I3" s="22"/>
      <c r="J3" s="22"/>
      <c r="K3" s="22" t="s">
        <v>30</v>
      </c>
    </row>
    <row r="4" spans="1:12" x14ac:dyDescent="0.2">
      <c r="F4" s="30"/>
      <c r="G4" s="30"/>
      <c r="H4" s="30"/>
      <c r="I4" s="30"/>
      <c r="J4" s="30"/>
      <c r="K4" s="30"/>
    </row>
    <row r="6" spans="1:12" x14ac:dyDescent="0.2">
      <c r="B6" s="23" t="s">
        <v>52</v>
      </c>
      <c r="C6" s="23" t="s">
        <v>3</v>
      </c>
      <c r="D6" s="23" t="s">
        <v>3</v>
      </c>
      <c r="E6" s="23" t="s">
        <v>3</v>
      </c>
      <c r="F6" s="23" t="s">
        <v>3</v>
      </c>
      <c r="G6" s="23" t="s">
        <v>3</v>
      </c>
      <c r="H6" s="23" t="s">
        <v>3</v>
      </c>
      <c r="I6" s="23" t="s">
        <v>3</v>
      </c>
      <c r="J6" s="45" t="s">
        <v>51</v>
      </c>
      <c r="K6" s="45" t="s">
        <v>52</v>
      </c>
      <c r="L6" s="46" t="s">
        <v>154</v>
      </c>
    </row>
    <row r="7" spans="1:12" x14ac:dyDescent="0.2">
      <c r="A7" s="24" t="s">
        <v>2</v>
      </c>
      <c r="B7" s="23" t="s">
        <v>118</v>
      </c>
      <c r="C7" s="23" t="s">
        <v>118</v>
      </c>
      <c r="D7" s="23" t="s">
        <v>120</v>
      </c>
      <c r="E7" s="23" t="s">
        <v>131</v>
      </c>
      <c r="F7" s="23" t="s">
        <v>131</v>
      </c>
      <c r="G7" s="23" t="s">
        <v>132</v>
      </c>
      <c r="H7" s="23" t="s">
        <v>132</v>
      </c>
      <c r="I7" s="23" t="s">
        <v>135</v>
      </c>
      <c r="J7" s="46" t="s">
        <v>153</v>
      </c>
      <c r="K7" s="46" t="s">
        <v>153</v>
      </c>
      <c r="L7" s="46" t="s">
        <v>155</v>
      </c>
    </row>
    <row r="9" spans="1:12" x14ac:dyDescent="0.2">
      <c r="A9" s="21" t="s">
        <v>6</v>
      </c>
      <c r="B9" s="26">
        <v>-2690</v>
      </c>
      <c r="C9" s="27">
        <v>-2790.89</v>
      </c>
      <c r="D9" s="27">
        <v>32693</v>
      </c>
      <c r="E9" s="27">
        <v>767</v>
      </c>
      <c r="F9" s="27">
        <v>767</v>
      </c>
      <c r="G9" s="27">
        <v>-1608</v>
      </c>
      <c r="H9" s="27">
        <v>-13474</v>
      </c>
      <c r="I9" s="27">
        <v>1099</v>
      </c>
      <c r="J9" s="27">
        <v>0</v>
      </c>
      <c r="K9" s="27">
        <v>0</v>
      </c>
    </row>
    <row r="10" spans="1:12" x14ac:dyDescent="0.2">
      <c r="F10" s="27"/>
      <c r="G10" s="27"/>
      <c r="H10" s="27"/>
      <c r="I10" s="27"/>
      <c r="J10" s="27"/>
      <c r="K10" s="27"/>
    </row>
    <row r="11" spans="1:12" x14ac:dyDescent="0.2">
      <c r="A11" s="21" t="s">
        <v>16</v>
      </c>
      <c r="F11" s="27"/>
      <c r="G11" s="27"/>
      <c r="H11" s="27"/>
      <c r="I11" s="27"/>
      <c r="J11" s="27"/>
      <c r="K11" s="27"/>
    </row>
    <row r="12" spans="1:12" x14ac:dyDescent="0.2">
      <c r="F12" s="27"/>
      <c r="G12" s="27"/>
      <c r="H12" s="27"/>
      <c r="I12" s="27"/>
      <c r="J12" s="27"/>
      <c r="K12" s="27"/>
    </row>
    <row r="13" spans="1:12" x14ac:dyDescent="0.2">
      <c r="A13" s="21" t="s">
        <v>121</v>
      </c>
      <c r="B13" s="25">
        <v>0</v>
      </c>
      <c r="C13" s="27">
        <v>-8.6999999999999993</v>
      </c>
      <c r="D13" s="27">
        <v>134.72999999999999</v>
      </c>
      <c r="E13" s="27">
        <v>0</v>
      </c>
      <c r="F13" s="27">
        <v>154.02000000000001</v>
      </c>
      <c r="G13" s="27">
        <v>154</v>
      </c>
      <c r="H13" s="27">
        <v>0.36</v>
      </c>
      <c r="I13" s="27">
        <v>-309.52</v>
      </c>
      <c r="J13" s="27">
        <v>0</v>
      </c>
      <c r="K13" s="27">
        <v>0</v>
      </c>
      <c r="L13" s="48">
        <v>0</v>
      </c>
    </row>
    <row r="14" spans="1:12" x14ac:dyDescent="0.2">
      <c r="A14" s="21" t="s">
        <v>122</v>
      </c>
      <c r="B14" s="25">
        <f>-75799+20240</f>
        <v>-55559</v>
      </c>
      <c r="C14" s="27">
        <f>-40454.24</f>
        <v>-40454.239999999998</v>
      </c>
      <c r="D14" s="27">
        <v>0</v>
      </c>
      <c r="E14" s="27">
        <v>13861</v>
      </c>
      <c r="F14" s="27">
        <v>21680.7</v>
      </c>
      <c r="G14" s="27">
        <v>20915</v>
      </c>
      <c r="H14" s="27">
        <v>25680.11</v>
      </c>
      <c r="I14" s="27">
        <v>43678.39</v>
      </c>
      <c r="J14" s="27">
        <v>52853</v>
      </c>
      <c r="K14" s="27">
        <v>52853</v>
      </c>
      <c r="L14" s="48">
        <v>32000</v>
      </c>
    </row>
    <row r="15" spans="1:12" x14ac:dyDescent="0.2">
      <c r="A15" s="21" t="s">
        <v>123</v>
      </c>
      <c r="B15" s="25">
        <v>112959</v>
      </c>
      <c r="C15" s="27">
        <f>137746.87-18024</f>
        <v>119722.87</v>
      </c>
      <c r="D15" s="27">
        <v>79626.320000000007</v>
      </c>
      <c r="E15" s="27">
        <v>86397</v>
      </c>
      <c r="F15" s="27">
        <v>85698.8</v>
      </c>
      <c r="G15" s="27">
        <v>120291</v>
      </c>
      <c r="H15" s="27">
        <v>102011.76</v>
      </c>
      <c r="I15" s="27">
        <v>78875.69</v>
      </c>
      <c r="J15" s="27">
        <v>70000</v>
      </c>
      <c r="K15" s="27">
        <v>70000</v>
      </c>
      <c r="L15" s="48">
        <v>119029</v>
      </c>
    </row>
    <row r="16" spans="1:12" x14ac:dyDescent="0.2">
      <c r="A16" s="21" t="s">
        <v>124</v>
      </c>
      <c r="B16" s="25">
        <v>136053</v>
      </c>
      <c r="C16" s="27">
        <f>142304.83</f>
        <v>142304.82999999999</v>
      </c>
      <c r="D16" s="27">
        <v>102655.11</v>
      </c>
      <c r="E16" s="27">
        <v>109346</v>
      </c>
      <c r="F16" s="27">
        <v>110036.71</v>
      </c>
      <c r="G16" s="27">
        <v>151927</v>
      </c>
      <c r="H16" s="27">
        <v>141432.9</v>
      </c>
      <c r="I16" s="27">
        <v>115988.27</v>
      </c>
      <c r="J16" s="27">
        <v>110000</v>
      </c>
      <c r="K16" s="27">
        <v>110000</v>
      </c>
      <c r="L16" s="48">
        <v>119029</v>
      </c>
    </row>
    <row r="17" spans="1:12" x14ac:dyDescent="0.2">
      <c r="A17" s="39" t="s">
        <v>157</v>
      </c>
      <c r="B17" s="25"/>
      <c r="F17" s="27">
        <v>0</v>
      </c>
      <c r="G17" s="27"/>
      <c r="H17" s="27">
        <v>0</v>
      </c>
      <c r="I17" s="27">
        <v>32007.33</v>
      </c>
      <c r="J17" s="27">
        <v>40000</v>
      </c>
      <c r="K17" s="27">
        <v>40000</v>
      </c>
      <c r="L17" s="48">
        <v>35000</v>
      </c>
    </row>
    <row r="18" spans="1:12" x14ac:dyDescent="0.2">
      <c r="A18" s="21" t="s">
        <v>125</v>
      </c>
      <c r="B18" s="25">
        <v>4000</v>
      </c>
      <c r="C18" s="27">
        <v>4067</v>
      </c>
      <c r="D18" s="27">
        <v>3708</v>
      </c>
      <c r="E18" s="27">
        <v>4032</v>
      </c>
      <c r="F18" s="27">
        <v>3312</v>
      </c>
      <c r="G18" s="27">
        <v>4608</v>
      </c>
      <c r="H18" s="27">
        <v>4368</v>
      </c>
      <c r="I18" s="27">
        <v>4308</v>
      </c>
      <c r="J18" s="27">
        <v>4320</v>
      </c>
      <c r="K18" s="27">
        <v>4320</v>
      </c>
      <c r="L18" s="48">
        <v>4320</v>
      </c>
    </row>
    <row r="19" spans="1:12" x14ac:dyDescent="0.2">
      <c r="B19" s="25"/>
      <c r="F19" s="27"/>
      <c r="G19" s="27"/>
      <c r="H19" s="27"/>
      <c r="I19" s="27"/>
      <c r="J19" s="27"/>
      <c r="K19" s="27"/>
    </row>
    <row r="20" spans="1:12" x14ac:dyDescent="0.2">
      <c r="A20" s="21" t="s">
        <v>7</v>
      </c>
      <c r="B20" s="25">
        <f t="shared" ref="B20:H20" si="0">SUM(B13:B19)</f>
        <v>197453</v>
      </c>
      <c r="C20" s="25">
        <f t="shared" si="0"/>
        <v>225631.75999999998</v>
      </c>
      <c r="D20" s="25">
        <f t="shared" si="0"/>
        <v>186124.16</v>
      </c>
      <c r="E20" s="25">
        <f t="shared" si="0"/>
        <v>213636</v>
      </c>
      <c r="F20" s="25">
        <f t="shared" si="0"/>
        <v>220882.23</v>
      </c>
      <c r="G20" s="25">
        <f t="shared" si="0"/>
        <v>297895</v>
      </c>
      <c r="H20" s="25">
        <f t="shared" si="0"/>
        <v>273493.13</v>
      </c>
      <c r="I20" s="25">
        <f>SUM(I13:I19)</f>
        <v>274548.16000000003</v>
      </c>
      <c r="J20" s="25">
        <f t="shared" ref="J20" si="1">SUM(J13:J19)</f>
        <v>277173</v>
      </c>
      <c r="K20" s="25">
        <f t="shared" ref="K20" si="2">SUM(K13:K19)</f>
        <v>277173</v>
      </c>
      <c r="L20" s="27">
        <f>SUM(L13:L18)</f>
        <v>309378</v>
      </c>
    </row>
    <row r="21" spans="1:12" x14ac:dyDescent="0.2">
      <c r="B21" s="25"/>
      <c r="F21" s="27"/>
      <c r="G21" s="27"/>
      <c r="H21" s="27"/>
      <c r="I21" s="27"/>
      <c r="J21" s="27"/>
      <c r="K21" s="27"/>
    </row>
    <row r="22" spans="1:12" x14ac:dyDescent="0.2">
      <c r="A22" s="21" t="s">
        <v>46</v>
      </c>
      <c r="B22" s="26">
        <v>2690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13474</v>
      </c>
      <c r="I22" s="27">
        <v>0</v>
      </c>
      <c r="J22" s="27">
        <v>0</v>
      </c>
      <c r="K22" s="27">
        <v>0</v>
      </c>
    </row>
    <row r="23" spans="1:12" x14ac:dyDescent="0.2">
      <c r="B23" s="25"/>
      <c r="F23" s="27"/>
      <c r="G23" s="27"/>
      <c r="H23" s="27"/>
      <c r="I23" s="27"/>
      <c r="J23" s="27"/>
      <c r="K23" s="27"/>
    </row>
    <row r="24" spans="1:12" x14ac:dyDescent="0.2">
      <c r="A24" s="21" t="s">
        <v>8</v>
      </c>
      <c r="B24" s="25">
        <f t="shared" ref="B24:H24" si="3">SUM(B9+B20+B22)</f>
        <v>197453</v>
      </c>
      <c r="C24" s="25">
        <f t="shared" si="3"/>
        <v>222840.86999999997</v>
      </c>
      <c r="D24" s="25">
        <f t="shared" si="3"/>
        <v>218817.16</v>
      </c>
      <c r="E24" s="25">
        <f t="shared" si="3"/>
        <v>214403</v>
      </c>
      <c r="F24" s="25">
        <f t="shared" si="3"/>
        <v>221649.23</v>
      </c>
      <c r="G24" s="25">
        <f t="shared" si="3"/>
        <v>296287</v>
      </c>
      <c r="H24" s="25">
        <f t="shared" si="3"/>
        <v>273493.13</v>
      </c>
      <c r="I24" s="25">
        <f>SUM(I9+I20+I22)</f>
        <v>275647.16000000003</v>
      </c>
      <c r="J24" s="25">
        <f t="shared" ref="J24" si="4">SUM(J9+J20+J22)</f>
        <v>277173</v>
      </c>
      <c r="K24" s="25">
        <f t="shared" ref="K24:L24" si="5">SUM(K9+K20+K22)</f>
        <v>277173</v>
      </c>
      <c r="L24" s="25">
        <f t="shared" si="5"/>
        <v>309378</v>
      </c>
    </row>
    <row r="25" spans="1:12" x14ac:dyDescent="0.2">
      <c r="F25" s="27"/>
      <c r="G25" s="27"/>
      <c r="H25" s="27"/>
      <c r="I25" s="27"/>
      <c r="J25" s="27"/>
      <c r="K25" s="27"/>
      <c r="L25" s="39"/>
    </row>
    <row r="26" spans="1:12" x14ac:dyDescent="0.2">
      <c r="F26" s="27"/>
      <c r="G26" s="27"/>
      <c r="H26" s="27"/>
      <c r="I26" s="27"/>
      <c r="J26" s="27"/>
      <c r="K26" s="27"/>
    </row>
    <row r="27" spans="1:12" x14ac:dyDescent="0.2">
      <c r="A27" s="21" t="s">
        <v>9</v>
      </c>
      <c r="F27" s="27"/>
      <c r="G27" s="27"/>
      <c r="H27" s="27"/>
      <c r="I27" s="27"/>
      <c r="J27" s="27"/>
      <c r="K27" s="27"/>
    </row>
    <row r="28" spans="1:12" x14ac:dyDescent="0.2">
      <c r="F28" s="27"/>
      <c r="G28" s="27"/>
      <c r="H28" s="27"/>
      <c r="I28" s="27"/>
      <c r="J28" s="27"/>
      <c r="K28" s="27"/>
    </row>
    <row r="29" spans="1:12" x14ac:dyDescent="0.2">
      <c r="A29" s="21" t="s">
        <v>17</v>
      </c>
      <c r="F29" s="27"/>
      <c r="G29" s="27"/>
      <c r="H29" s="27"/>
      <c r="I29" s="27"/>
      <c r="J29" s="27"/>
      <c r="K29" s="27"/>
    </row>
    <row r="30" spans="1:12" x14ac:dyDescent="0.2">
      <c r="A30" s="21" t="s">
        <v>18</v>
      </c>
      <c r="B30" s="25">
        <f>'IHSS DETAIL'!C15</f>
        <v>86593.360000000015</v>
      </c>
      <c r="C30" s="25">
        <f>'IHSS DETAIL'!D15</f>
        <v>86088.25</v>
      </c>
      <c r="D30" s="25">
        <f>'IHSS DETAIL'!E15</f>
        <v>95240.650000000009</v>
      </c>
      <c r="E30" s="25">
        <f>'IHSS DETAIL'!F15</f>
        <v>97897</v>
      </c>
      <c r="F30" s="25">
        <f>'IHSS DETAIL'!G15</f>
        <v>128992.62</v>
      </c>
      <c r="G30" s="25">
        <f>'IHSS DETAIL'!H15</f>
        <v>163935</v>
      </c>
      <c r="H30" s="25">
        <f>'IHSS DETAIL'!I15</f>
        <v>140871.44</v>
      </c>
      <c r="I30" s="25">
        <f>'IHSS DETAIL'!K15</f>
        <v>153363.78</v>
      </c>
      <c r="J30" s="25">
        <f>'IHSS DETAIL'!L15</f>
        <v>141088</v>
      </c>
      <c r="K30" s="25">
        <f>'IHSS DETAIL'!M15</f>
        <v>141088</v>
      </c>
      <c r="L30" s="52">
        <v>141088</v>
      </c>
    </row>
    <row r="31" spans="1:12" x14ac:dyDescent="0.2">
      <c r="A31" s="21" t="s">
        <v>10</v>
      </c>
      <c r="B31" s="25">
        <f>'IHSS DETAIL'!C33</f>
        <v>30860</v>
      </c>
      <c r="C31" s="25">
        <f>'IHSS DETAIL'!D33</f>
        <v>27960.83</v>
      </c>
      <c r="D31" s="25">
        <f>'IHSS DETAIL'!E33</f>
        <v>26611.899999999998</v>
      </c>
      <c r="E31" s="25">
        <f>'IHSS DETAIL'!F33</f>
        <v>32090</v>
      </c>
      <c r="F31" s="25">
        <f>'IHSS DETAIL'!G33</f>
        <v>34661.039999999994</v>
      </c>
      <c r="G31" s="25">
        <f>'IHSS DETAIL'!H33</f>
        <v>42344</v>
      </c>
      <c r="H31" s="25">
        <f>'IHSS DETAIL'!I33</f>
        <v>42416.95</v>
      </c>
      <c r="I31" s="25">
        <f>'IHSS DETAIL'!K33</f>
        <v>41852.849999999991</v>
      </c>
      <c r="J31" s="25">
        <f>'IHSS DETAIL'!L33</f>
        <v>46085</v>
      </c>
      <c r="K31" s="25">
        <f>'IHSS DETAIL'!M33</f>
        <v>46085</v>
      </c>
      <c r="L31" s="27">
        <v>66640</v>
      </c>
    </row>
    <row r="32" spans="1:12" x14ac:dyDescent="0.2">
      <c r="A32" s="51" t="s">
        <v>49</v>
      </c>
      <c r="B32" s="25">
        <f>'IHSS DETAIL'!C38</f>
        <v>80000</v>
      </c>
      <c r="C32" s="25">
        <f>'IHSS DETAIL'!D38</f>
        <v>78788.639999999999</v>
      </c>
      <c r="D32" s="25">
        <f>'IHSS DETAIL'!E38</f>
        <v>81837.009999999995</v>
      </c>
      <c r="E32" s="25">
        <f>'IHSS DETAIL'!F38</f>
        <v>84416</v>
      </c>
      <c r="F32" s="25">
        <f>'IHSS DETAIL'!G38</f>
        <v>72457.41</v>
      </c>
      <c r="G32" s="25">
        <f>'IHSS DETAIL'!H38</f>
        <v>84416</v>
      </c>
      <c r="H32" s="25">
        <f>'IHSS DETAIL'!I38</f>
        <v>89106.2</v>
      </c>
      <c r="I32" s="25">
        <f>'IHSS DETAIL'!K38</f>
        <v>80430.070000000007</v>
      </c>
      <c r="J32" s="25">
        <f>'IHSS DETAIL'!L38</f>
        <v>90000</v>
      </c>
      <c r="K32" s="50">
        <f>'IHSS DETAIL'!M38</f>
        <v>90000</v>
      </c>
      <c r="L32" s="52">
        <v>90000</v>
      </c>
    </row>
    <row r="33" spans="1:12" x14ac:dyDescent="0.2">
      <c r="A33" s="21" t="s">
        <v>19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53">
        <v>11650</v>
      </c>
    </row>
    <row r="34" spans="1:12" x14ac:dyDescent="0.2">
      <c r="F34" s="27"/>
      <c r="G34" s="27"/>
      <c r="H34" s="27"/>
      <c r="I34" s="27"/>
      <c r="J34" s="27"/>
      <c r="K34" s="27"/>
    </row>
    <row r="35" spans="1:12" x14ac:dyDescent="0.2">
      <c r="A35" s="21" t="s">
        <v>11</v>
      </c>
      <c r="B35" s="25">
        <f t="shared" ref="B35:J35" si="6">SUM(B30:B34)</f>
        <v>197453.36000000002</v>
      </c>
      <c r="C35" s="25">
        <f t="shared" si="6"/>
        <v>192837.72</v>
      </c>
      <c r="D35" s="25">
        <f t="shared" si="6"/>
        <v>203689.56</v>
      </c>
      <c r="E35" s="25">
        <f t="shared" si="6"/>
        <v>214403</v>
      </c>
      <c r="F35" s="25">
        <f t="shared" si="6"/>
        <v>236111.06999999998</v>
      </c>
      <c r="G35" s="25">
        <f t="shared" si="6"/>
        <v>290695</v>
      </c>
      <c r="H35" s="25">
        <f t="shared" si="6"/>
        <v>272394.59000000003</v>
      </c>
      <c r="I35" s="25">
        <f t="shared" si="6"/>
        <v>275646.7</v>
      </c>
      <c r="J35" s="25">
        <f t="shared" si="6"/>
        <v>277173</v>
      </c>
      <c r="K35" s="25">
        <f t="shared" ref="K35:L35" si="7">SUM(K30:K34)</f>
        <v>277173</v>
      </c>
      <c r="L35" s="25">
        <f t="shared" si="7"/>
        <v>309378</v>
      </c>
    </row>
    <row r="36" spans="1:12" x14ac:dyDescent="0.2">
      <c r="F36" s="27"/>
      <c r="G36" s="27"/>
      <c r="H36" s="27"/>
      <c r="I36" s="27"/>
      <c r="J36" s="27"/>
      <c r="K36" s="27"/>
    </row>
    <row r="37" spans="1:12" x14ac:dyDescent="0.2">
      <c r="A37" s="21" t="s">
        <v>12</v>
      </c>
      <c r="C37" s="27">
        <v>0</v>
      </c>
      <c r="D37" s="27">
        <v>17350</v>
      </c>
      <c r="F37" s="27"/>
      <c r="G37" s="27"/>
      <c r="H37" s="27"/>
      <c r="I37" s="27"/>
      <c r="J37" s="27"/>
      <c r="K37" s="27"/>
    </row>
    <row r="38" spans="1:12" x14ac:dyDescent="0.2">
      <c r="F38" s="27"/>
      <c r="G38" s="27"/>
      <c r="H38" s="27"/>
      <c r="I38" s="27"/>
      <c r="J38" s="27"/>
      <c r="K38" s="27"/>
    </row>
    <row r="39" spans="1:12" x14ac:dyDescent="0.2">
      <c r="A39" s="21" t="s">
        <v>13</v>
      </c>
      <c r="B39" s="25">
        <f t="shared" ref="B39:G39" si="8">SUM(B35:B37)</f>
        <v>197453.36000000002</v>
      </c>
      <c r="C39" s="25">
        <f t="shared" si="8"/>
        <v>192837.72</v>
      </c>
      <c r="D39" s="25">
        <f t="shared" si="8"/>
        <v>221039.56</v>
      </c>
      <c r="E39" s="25">
        <f t="shared" si="8"/>
        <v>214403</v>
      </c>
      <c r="F39" s="25">
        <f t="shared" si="8"/>
        <v>236111.06999999998</v>
      </c>
      <c r="G39" s="25">
        <f t="shared" si="8"/>
        <v>290695</v>
      </c>
      <c r="H39" s="25">
        <f t="shared" ref="H39:K39" si="9">SUM(H35:H37)</f>
        <v>272394.59000000003</v>
      </c>
      <c r="I39" s="25">
        <f t="shared" si="9"/>
        <v>275646.7</v>
      </c>
      <c r="J39" s="25">
        <f t="shared" si="9"/>
        <v>277173</v>
      </c>
      <c r="K39" s="25">
        <f t="shared" si="9"/>
        <v>277173</v>
      </c>
      <c r="L39" s="25">
        <v>309378</v>
      </c>
    </row>
    <row r="41" spans="1:12" x14ac:dyDescent="0.2">
      <c r="A41" s="29" t="s">
        <v>119</v>
      </c>
    </row>
  </sheetData>
  <phoneticPr fontId="0" type="noConversion"/>
  <printOptions horizontalCentered="1"/>
  <pageMargins left="0.5" right="0.5" top="1.5" bottom="1" header="0.5" footer="0.5"/>
  <pageSetup scale="84" orientation="landscape" r:id="rId1"/>
  <headerFooter alignWithMargins="0">
    <oddHeader xml:space="preserve">&amp;CCOUNTY OF AMADOR
&amp;8STATE OF CALIFORNIA
SPECIAL DISTRICTS
IHSS PUBLIC AUTHORITY
FISCAL YEAR 2019-2020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opLeftCell="A10" zoomScaleNormal="100" workbookViewId="0">
      <selection activeCell="N43" sqref="N43"/>
    </sheetView>
  </sheetViews>
  <sheetFormatPr defaultRowHeight="11.25" x14ac:dyDescent="0.2"/>
  <cols>
    <col min="1" max="1" width="31.140625" style="1" bestFit="1" customWidth="1"/>
    <col min="2" max="2" width="5.28515625" style="1" bestFit="1" customWidth="1"/>
    <col min="3" max="3" width="11.7109375" style="3" bestFit="1" customWidth="1"/>
    <col min="4" max="4" width="18.28515625" style="3" bestFit="1" customWidth="1"/>
    <col min="5" max="7" width="10.5703125" style="3" bestFit="1" customWidth="1"/>
    <col min="8" max="8" width="20.42578125" style="3" bestFit="1" customWidth="1"/>
    <col min="9" max="9" width="12.7109375" style="3" bestFit="1" customWidth="1"/>
    <col min="10" max="10" width="9.85546875" style="1" bestFit="1" customWidth="1"/>
    <col min="11" max="16384" width="9.140625" style="1"/>
  </cols>
  <sheetData>
    <row r="1" spans="1:10" x14ac:dyDescent="0.2">
      <c r="A1" s="1" t="s">
        <v>0</v>
      </c>
      <c r="D1" s="3" t="s">
        <v>56</v>
      </c>
      <c r="H1" s="3" t="s">
        <v>57</v>
      </c>
      <c r="I1" s="3" t="s">
        <v>58</v>
      </c>
    </row>
    <row r="2" spans="1:10" x14ac:dyDescent="0.2">
      <c r="A2" s="1" t="s">
        <v>1</v>
      </c>
      <c r="I2" s="3" t="s">
        <v>5</v>
      </c>
    </row>
    <row r="3" spans="1:10" x14ac:dyDescent="0.2">
      <c r="I3" s="3" t="s">
        <v>59</v>
      </c>
    </row>
    <row r="4" spans="1:10" x14ac:dyDescent="0.2">
      <c r="C4" s="4"/>
      <c r="D4" s="4" t="s">
        <v>60</v>
      </c>
      <c r="E4" s="4"/>
      <c r="F4" s="4"/>
      <c r="G4" s="4"/>
      <c r="H4" s="4" t="s">
        <v>61</v>
      </c>
      <c r="I4" s="4"/>
      <c r="J4" s="2"/>
    </row>
    <row r="5" spans="1:10" x14ac:dyDescent="0.2">
      <c r="C5" s="4" t="s">
        <v>62</v>
      </c>
      <c r="D5" s="4" t="s">
        <v>63</v>
      </c>
      <c r="E5" s="4" t="s">
        <v>64</v>
      </c>
      <c r="F5" s="4"/>
      <c r="G5" s="4"/>
      <c r="H5" s="4" t="s">
        <v>65</v>
      </c>
      <c r="I5" s="4"/>
      <c r="J5" s="2"/>
    </row>
    <row r="6" spans="1:10" x14ac:dyDescent="0.2">
      <c r="C6" s="4" t="s">
        <v>66</v>
      </c>
      <c r="D6" s="4" t="s">
        <v>67</v>
      </c>
      <c r="E6" s="4" t="s">
        <v>68</v>
      </c>
      <c r="F6" s="4" t="s">
        <v>69</v>
      </c>
      <c r="G6" s="4" t="s">
        <v>64</v>
      </c>
      <c r="H6" s="4" t="s">
        <v>70</v>
      </c>
      <c r="I6" s="4" t="s">
        <v>69</v>
      </c>
      <c r="J6" s="2"/>
    </row>
    <row r="7" spans="1:10" x14ac:dyDescent="0.2">
      <c r="C7" s="4" t="s">
        <v>71</v>
      </c>
      <c r="D7" s="4" t="s">
        <v>72</v>
      </c>
      <c r="E7" s="4" t="s">
        <v>73</v>
      </c>
      <c r="F7" s="4" t="s">
        <v>71</v>
      </c>
      <c r="G7" s="4" t="s">
        <v>73</v>
      </c>
      <c r="H7" s="4" t="s">
        <v>74</v>
      </c>
      <c r="I7" s="4" t="s">
        <v>73</v>
      </c>
      <c r="J7" s="2" t="s">
        <v>75</v>
      </c>
    </row>
    <row r="8" spans="1:10" x14ac:dyDescent="0.2">
      <c r="A8" s="1" t="s">
        <v>76</v>
      </c>
      <c r="C8" s="4" t="s">
        <v>77</v>
      </c>
      <c r="D8" s="4" t="s">
        <v>78</v>
      </c>
      <c r="E8" s="4" t="s">
        <v>79</v>
      </c>
      <c r="F8" s="4" t="s">
        <v>73</v>
      </c>
      <c r="G8" s="4" t="s">
        <v>80</v>
      </c>
      <c r="H8" s="4" t="s">
        <v>78</v>
      </c>
      <c r="I8" s="4" t="s">
        <v>81</v>
      </c>
      <c r="J8" s="2" t="s">
        <v>82</v>
      </c>
    </row>
    <row r="9" spans="1:10" x14ac:dyDescent="0.2">
      <c r="C9" s="4"/>
      <c r="D9" s="4"/>
      <c r="E9" s="4"/>
      <c r="F9" s="4"/>
      <c r="G9" s="4"/>
      <c r="H9" s="4"/>
      <c r="I9" s="4"/>
      <c r="J9" s="2"/>
    </row>
    <row r="10" spans="1:10" x14ac:dyDescent="0.2">
      <c r="C10" s="4"/>
      <c r="D10" s="4"/>
      <c r="E10" s="4"/>
      <c r="F10" s="4"/>
      <c r="G10" s="4"/>
      <c r="H10" s="4"/>
      <c r="I10" s="4"/>
      <c r="J10" s="2"/>
    </row>
    <row r="11" spans="1:10" s="7" customFormat="1" x14ac:dyDescent="0.2">
      <c r="C11" s="8"/>
      <c r="D11" s="8"/>
      <c r="E11" s="8"/>
      <c r="F11" s="8"/>
      <c r="G11" s="8"/>
      <c r="H11" s="8"/>
      <c r="I11" s="8"/>
    </row>
    <row r="12" spans="1:10" s="7" customFormat="1" x14ac:dyDescent="0.2">
      <c r="A12" s="9" t="s">
        <v>117</v>
      </c>
      <c r="B12" s="7">
        <v>89800</v>
      </c>
      <c r="C12" s="8"/>
      <c r="D12" s="8"/>
      <c r="E12" s="8"/>
      <c r="F12" s="8"/>
      <c r="G12" s="8"/>
      <c r="H12" s="8"/>
      <c r="I12" s="8"/>
      <c r="J12" s="8"/>
    </row>
    <row r="13" spans="1:10" s="7" customFormat="1" x14ac:dyDescent="0.2">
      <c r="B13" s="1"/>
      <c r="D13" s="8"/>
      <c r="E13" s="8"/>
      <c r="F13" s="8"/>
      <c r="G13" s="8"/>
      <c r="H13" s="8"/>
      <c r="I13" s="8"/>
    </row>
    <row r="14" spans="1:10" s="7" customFormat="1" x14ac:dyDescent="0.2">
      <c r="A14" s="7" t="s">
        <v>83</v>
      </c>
      <c r="B14" s="7">
        <v>89800</v>
      </c>
      <c r="C14" s="10">
        <v>36951</v>
      </c>
      <c r="D14" s="8"/>
      <c r="E14" s="8">
        <v>331870.32</v>
      </c>
      <c r="F14" s="8">
        <f>SUM(C14:E14)</f>
        <v>368821.32</v>
      </c>
      <c r="G14" s="8">
        <v>316492.86</v>
      </c>
      <c r="H14" s="8">
        <v>46951</v>
      </c>
      <c r="I14" s="8">
        <f>G14+H14</f>
        <v>363443.86</v>
      </c>
      <c r="J14" s="8">
        <f>I14-F14</f>
        <v>-5377.460000000021</v>
      </c>
    </row>
    <row r="15" spans="1:10" s="7" customFormat="1" x14ac:dyDescent="0.2">
      <c r="B15" s="1"/>
      <c r="D15" s="8"/>
      <c r="E15" s="8"/>
      <c r="F15" s="8"/>
      <c r="G15" s="8"/>
      <c r="H15" s="8"/>
      <c r="I15" s="8"/>
    </row>
    <row r="16" spans="1:10" s="7" customFormat="1" x14ac:dyDescent="0.2">
      <c r="B16" s="1"/>
      <c r="D16" s="8"/>
      <c r="E16" s="8"/>
      <c r="F16" s="8"/>
      <c r="G16" s="8"/>
      <c r="H16" s="8"/>
      <c r="I16" s="8"/>
    </row>
    <row r="17" spans="1:10" s="7" customFormat="1" x14ac:dyDescent="0.2">
      <c r="A17" s="7" t="s">
        <v>84</v>
      </c>
      <c r="B17" s="7">
        <v>89800</v>
      </c>
      <c r="C17" s="10">
        <v>14723.01</v>
      </c>
      <c r="D17" s="8"/>
      <c r="E17" s="8">
        <v>245589.79</v>
      </c>
      <c r="F17" s="8">
        <f>SUM(C17:E17)</f>
        <v>260312.80000000002</v>
      </c>
      <c r="G17" s="8">
        <f>285312.27+156.94</f>
        <v>285469.21000000002</v>
      </c>
      <c r="H17" s="8"/>
      <c r="I17" s="8">
        <f>G17+H17</f>
        <v>285469.21000000002</v>
      </c>
      <c r="J17" s="8">
        <f>I17-F17</f>
        <v>25156.410000000003</v>
      </c>
    </row>
    <row r="18" spans="1:10" s="7" customFormat="1" x14ac:dyDescent="0.2">
      <c r="B18" s="1"/>
      <c r="D18" s="8"/>
      <c r="E18" s="8"/>
      <c r="F18" s="8"/>
      <c r="G18" s="8"/>
      <c r="H18" s="8"/>
      <c r="I18" s="8"/>
    </row>
    <row r="19" spans="1:10" s="7" customFormat="1" x14ac:dyDescent="0.2">
      <c r="B19" s="1"/>
      <c r="D19" s="8"/>
      <c r="E19" s="8"/>
      <c r="F19" s="8"/>
      <c r="G19" s="8"/>
      <c r="H19" s="8"/>
      <c r="I19" s="8"/>
    </row>
    <row r="20" spans="1:10" s="7" customFormat="1" x14ac:dyDescent="0.2">
      <c r="A20" s="7" t="s">
        <v>85</v>
      </c>
      <c r="B20" s="7">
        <v>89800</v>
      </c>
      <c r="C20" s="10">
        <v>-49658.239999999998</v>
      </c>
      <c r="D20" s="8"/>
      <c r="E20" s="8">
        <v>265146.71000000002</v>
      </c>
      <c r="F20" s="8">
        <f>SUM(C20:E20)</f>
        <v>215488.47000000003</v>
      </c>
      <c r="G20" s="8">
        <f>264055.09+152.14</f>
        <v>264207.23000000004</v>
      </c>
      <c r="H20" s="8"/>
      <c r="I20" s="8">
        <f>G20+H20</f>
        <v>264207.23000000004</v>
      </c>
      <c r="J20" s="8">
        <f>I20-F20</f>
        <v>48718.760000000009</v>
      </c>
    </row>
    <row r="22" spans="1:10" s="7" customFormat="1" x14ac:dyDescent="0.2">
      <c r="B22" s="1"/>
      <c r="D22" s="8"/>
      <c r="E22" s="8"/>
      <c r="F22" s="8"/>
      <c r="G22" s="8"/>
      <c r="H22" s="8"/>
      <c r="I22" s="8"/>
    </row>
    <row r="23" spans="1:10" s="7" customFormat="1" x14ac:dyDescent="0.2">
      <c r="A23" s="7" t="s">
        <v>86</v>
      </c>
      <c r="B23" s="7">
        <v>89800</v>
      </c>
      <c r="C23" s="8">
        <v>11372</v>
      </c>
      <c r="D23" s="8">
        <v>22773.11</v>
      </c>
      <c r="E23" s="8">
        <v>273202.65999999997</v>
      </c>
      <c r="F23" s="8">
        <f>SUM(C23:E23)</f>
        <v>307347.76999999996</v>
      </c>
      <c r="G23" s="8">
        <f>188682.01+41.63</f>
        <v>188723.64</v>
      </c>
      <c r="H23" s="8"/>
      <c r="I23" s="8">
        <f>G23+H23</f>
        <v>188723.64</v>
      </c>
      <c r="J23" s="8">
        <f>I23-F23</f>
        <v>-118624.12999999995</v>
      </c>
    </row>
    <row r="24" spans="1:10" s="11" customFormat="1" x14ac:dyDescent="0.2">
      <c r="B24" s="12"/>
      <c r="C24" s="13"/>
      <c r="D24" s="13"/>
      <c r="E24" s="13"/>
      <c r="F24" s="13"/>
      <c r="G24" s="13"/>
      <c r="H24" s="13"/>
      <c r="I24" s="13"/>
      <c r="J24" s="13"/>
    </row>
    <row r="26" spans="1:10" s="7" customFormat="1" x14ac:dyDescent="0.2">
      <c r="A26" s="1" t="s">
        <v>50</v>
      </c>
      <c r="B26" s="7">
        <v>89800</v>
      </c>
      <c r="C26" s="8">
        <v>83855</v>
      </c>
      <c r="D26" s="8"/>
      <c r="E26" s="8">
        <v>136391.24</v>
      </c>
      <c r="F26" s="8">
        <f>C26+D26+E26</f>
        <v>220246.24</v>
      </c>
      <c r="G26" s="8">
        <f>164053.08</f>
        <v>164053.07999999999</v>
      </c>
      <c r="H26" s="8">
        <v>168618</v>
      </c>
      <c r="I26" s="8">
        <f>G26+H26</f>
        <v>332671.07999999996</v>
      </c>
      <c r="J26" s="8">
        <f>I26-F26</f>
        <v>112424.83999999997</v>
      </c>
    </row>
    <row r="28" spans="1:10" s="11" customFormat="1" x14ac:dyDescent="0.2">
      <c r="B28" s="14"/>
      <c r="C28" s="13"/>
      <c r="D28" s="13"/>
      <c r="E28" s="13"/>
      <c r="F28" s="13"/>
      <c r="G28" s="13"/>
      <c r="H28" s="13"/>
      <c r="I28" s="13"/>
    </row>
    <row r="29" spans="1:10" s="7" customFormat="1" x14ac:dyDescent="0.2">
      <c r="A29" s="7" t="s">
        <v>53</v>
      </c>
      <c r="B29" s="7">
        <v>89800</v>
      </c>
      <c r="C29" s="8">
        <v>-192796</v>
      </c>
      <c r="D29" s="8"/>
      <c r="E29" s="8">
        <v>134460.49</v>
      </c>
      <c r="F29" s="8">
        <f>C29+D29+E29</f>
        <v>-58335.510000000009</v>
      </c>
      <c r="G29" s="8">
        <v>158020.85</v>
      </c>
      <c r="H29" s="8"/>
      <c r="I29" s="8">
        <f>G29+H29</f>
        <v>158020.85</v>
      </c>
      <c r="J29" s="8">
        <f>I29-F29</f>
        <v>216356.36000000002</v>
      </c>
    </row>
    <row r="30" spans="1:10" s="7" customFormat="1" x14ac:dyDescent="0.2">
      <c r="B30" s="1"/>
      <c r="C30" s="8"/>
      <c r="D30" s="8"/>
      <c r="E30" s="8"/>
      <c r="F30" s="8"/>
      <c r="G30" s="8"/>
      <c r="H30" s="8"/>
      <c r="I30" s="8"/>
      <c r="J30" s="8"/>
    </row>
    <row r="31" spans="1:10" s="7" customFormat="1" x14ac:dyDescent="0.2">
      <c r="B31" s="1"/>
      <c r="C31" s="8"/>
      <c r="D31" s="8"/>
      <c r="E31" s="8"/>
      <c r="F31" s="8"/>
      <c r="G31" s="8"/>
      <c r="H31" s="8"/>
      <c r="I31" s="8"/>
      <c r="J31" s="8"/>
    </row>
    <row r="32" spans="1:10" s="7" customFormat="1" x14ac:dyDescent="0.2">
      <c r="A32" s="7" t="s">
        <v>55</v>
      </c>
      <c r="B32" s="7">
        <v>89800</v>
      </c>
      <c r="C32" s="8">
        <v>15395</v>
      </c>
      <c r="D32" s="8">
        <v>174039</v>
      </c>
      <c r="E32" s="8">
        <v>144073.17000000001</v>
      </c>
      <c r="F32" s="8">
        <f>C32+D32+E32</f>
        <v>333507.17000000004</v>
      </c>
      <c r="G32" s="8">
        <f>162423.14-566.68</f>
        <v>161856.46000000002</v>
      </c>
      <c r="H32" s="8"/>
      <c r="I32" s="8">
        <f>G32+H32</f>
        <v>161856.46000000002</v>
      </c>
      <c r="J32" s="8">
        <f>I32-F32</f>
        <v>-171650.71000000002</v>
      </c>
    </row>
    <row r="33" spans="1:10" s="7" customFormat="1" x14ac:dyDescent="0.2">
      <c r="B33" s="1"/>
      <c r="C33" s="8"/>
      <c r="D33" s="8"/>
      <c r="E33" s="8"/>
      <c r="F33" s="8"/>
      <c r="G33" s="8"/>
      <c r="H33" s="8"/>
      <c r="I33" s="8"/>
      <c r="J33" s="8"/>
    </row>
    <row r="34" spans="1:10" s="7" customFormat="1" x14ac:dyDescent="0.2">
      <c r="B34" s="1"/>
      <c r="C34" s="8"/>
      <c r="D34" s="8"/>
      <c r="E34" s="8"/>
      <c r="F34" s="8"/>
      <c r="G34" s="8"/>
      <c r="H34" s="8"/>
      <c r="I34" s="8"/>
      <c r="J34" s="8"/>
    </row>
    <row r="35" spans="1:10" s="7" customFormat="1" x14ac:dyDescent="0.2">
      <c r="A35" s="1" t="s">
        <v>87</v>
      </c>
      <c r="B35" s="7">
        <v>89800</v>
      </c>
      <c r="C35" s="8">
        <v>20271</v>
      </c>
      <c r="D35" s="8">
        <v>15966</v>
      </c>
      <c r="E35" s="8">
        <v>235681.63</v>
      </c>
      <c r="F35" s="8">
        <f>C35+D35+E35</f>
        <v>271918.63</v>
      </c>
      <c r="G35" s="8">
        <f>185947.04-134.12</f>
        <v>185812.92</v>
      </c>
      <c r="H35" s="8"/>
      <c r="I35" s="8">
        <f>G35+H35</f>
        <v>185812.92</v>
      </c>
      <c r="J35" s="8">
        <f>I35-F35</f>
        <v>-86105.709999999992</v>
      </c>
    </row>
    <row r="36" spans="1:10" s="7" customFormat="1" x14ac:dyDescent="0.2">
      <c r="A36" s="1"/>
      <c r="C36" s="8"/>
      <c r="D36" s="8"/>
      <c r="E36" s="8"/>
      <c r="F36" s="8"/>
      <c r="G36" s="8"/>
      <c r="H36" s="8"/>
      <c r="I36" s="8"/>
      <c r="J36" s="8"/>
    </row>
    <row r="37" spans="1:10" s="7" customFormat="1" x14ac:dyDescent="0.2">
      <c r="A37" s="1"/>
      <c r="B37" s="1"/>
      <c r="C37" s="8"/>
      <c r="D37" s="8"/>
      <c r="E37" s="8"/>
      <c r="F37" s="8"/>
      <c r="G37" s="8"/>
      <c r="H37" s="8"/>
      <c r="I37" s="8"/>
      <c r="J37" s="8"/>
    </row>
    <row r="38" spans="1:10" s="7" customFormat="1" x14ac:dyDescent="0.2">
      <c r="A38" s="1" t="s">
        <v>118</v>
      </c>
      <c r="B38" s="7">
        <v>89800</v>
      </c>
      <c r="C38" s="8">
        <v>-2690</v>
      </c>
      <c r="D38" s="8">
        <v>2690</v>
      </c>
      <c r="E38" s="8">
        <v>225631.76</v>
      </c>
      <c r="F38" s="8">
        <f>C38+D38+E38</f>
        <v>225631.76</v>
      </c>
      <c r="G38" s="8">
        <v>192837.72</v>
      </c>
      <c r="H38" s="8"/>
      <c r="I38" s="8">
        <f>G38+H38</f>
        <v>192837.72</v>
      </c>
      <c r="J38" s="8">
        <f>I38-F38</f>
        <v>-32794.040000000008</v>
      </c>
    </row>
    <row r="39" spans="1:10" s="7" customFormat="1" x14ac:dyDescent="0.2">
      <c r="A39" s="1"/>
      <c r="B39" s="1"/>
      <c r="C39" s="8"/>
      <c r="D39" s="8"/>
      <c r="E39" s="8"/>
      <c r="F39" s="8"/>
      <c r="G39" s="8"/>
      <c r="H39" s="8"/>
      <c r="I39" s="8"/>
      <c r="J39" s="8"/>
    </row>
    <row r="40" spans="1:10" s="7" customFormat="1" x14ac:dyDescent="0.2">
      <c r="A40" s="1"/>
      <c r="B40" s="1"/>
      <c r="C40" s="8"/>
      <c r="D40" s="8"/>
      <c r="E40" s="8"/>
      <c r="F40" s="8"/>
      <c r="G40" s="8"/>
      <c r="H40" s="8"/>
      <c r="I40" s="8"/>
      <c r="J40" s="8"/>
    </row>
    <row r="41" spans="1:10" s="7" customFormat="1" x14ac:dyDescent="0.2">
      <c r="A41" s="1" t="s">
        <v>120</v>
      </c>
      <c r="B41" s="7">
        <v>89800</v>
      </c>
      <c r="C41" s="8">
        <v>32693</v>
      </c>
      <c r="D41" s="8"/>
      <c r="E41" s="8">
        <v>185729</v>
      </c>
      <c r="F41" s="8">
        <f>C41+D41+E41</f>
        <v>218422</v>
      </c>
      <c r="G41" s="8">
        <v>205049</v>
      </c>
      <c r="H41" s="8">
        <v>13373</v>
      </c>
      <c r="I41" s="8">
        <f>G41+H41</f>
        <v>218422</v>
      </c>
      <c r="J41" s="8">
        <f>I41-F41</f>
        <v>0</v>
      </c>
    </row>
    <row r="42" spans="1:10" s="7" customFormat="1" x14ac:dyDescent="0.2">
      <c r="A42" s="1"/>
      <c r="B42" s="1"/>
      <c r="C42" s="8"/>
      <c r="D42" s="8"/>
      <c r="E42" s="8"/>
      <c r="F42" s="8"/>
      <c r="G42" s="8"/>
      <c r="H42" s="8"/>
      <c r="I42" s="8"/>
      <c r="J42" s="8"/>
    </row>
    <row r="43" spans="1:10" s="7" customFormat="1" x14ac:dyDescent="0.2">
      <c r="A43" s="1" t="s">
        <v>131</v>
      </c>
      <c r="B43" s="7">
        <v>89800</v>
      </c>
      <c r="C43" s="8">
        <f>schedule14!K59</f>
        <v>767</v>
      </c>
      <c r="D43" s="8"/>
      <c r="E43" s="8">
        <v>213636</v>
      </c>
      <c r="F43" s="8">
        <f>C43+D43+E43</f>
        <v>214403</v>
      </c>
      <c r="G43" s="8">
        <v>214403</v>
      </c>
      <c r="H43" s="8">
        <v>0</v>
      </c>
      <c r="I43" s="8">
        <f>G43+H43</f>
        <v>214403</v>
      </c>
      <c r="J43" s="8">
        <f>I43-F43</f>
        <v>0</v>
      </c>
    </row>
    <row r="44" spans="1:10" s="7" customFormat="1" x14ac:dyDescent="0.2">
      <c r="A44" s="1"/>
      <c r="B44" s="1"/>
      <c r="C44" s="8"/>
      <c r="D44" s="8"/>
      <c r="E44" s="8"/>
      <c r="F44" s="8"/>
      <c r="G44" s="8"/>
      <c r="H44" s="8"/>
      <c r="I44" s="8"/>
      <c r="J44" s="8"/>
    </row>
    <row r="45" spans="1:10" s="7" customFormat="1" x14ac:dyDescent="0.2">
      <c r="A45" s="1" t="s">
        <v>132</v>
      </c>
      <c r="B45" s="7">
        <v>89800</v>
      </c>
      <c r="C45" s="8">
        <f>schedule14!K64</f>
        <v>-13474</v>
      </c>
      <c r="D45" s="8">
        <v>13474</v>
      </c>
      <c r="E45" s="8">
        <v>297895</v>
      </c>
      <c r="F45" s="8">
        <f>C45+D45+E45</f>
        <v>297895</v>
      </c>
      <c r="G45" s="8">
        <v>297895</v>
      </c>
      <c r="H45" s="8">
        <v>0</v>
      </c>
      <c r="I45" s="8">
        <f>G45+H45</f>
        <v>297895</v>
      </c>
      <c r="J45" s="8">
        <f>I45-F45</f>
        <v>0</v>
      </c>
    </row>
    <row r="46" spans="1:10" x14ac:dyDescent="0.2">
      <c r="A46" s="7"/>
      <c r="B46" s="7"/>
      <c r="C46" s="4"/>
      <c r="D46" s="4"/>
      <c r="E46" s="4"/>
      <c r="G46" s="4"/>
      <c r="H46" s="4"/>
    </row>
    <row r="47" spans="1:10" s="7" customFormat="1" x14ac:dyDescent="0.2">
      <c r="A47" s="1" t="s">
        <v>135</v>
      </c>
      <c r="B47" s="7">
        <v>89800</v>
      </c>
      <c r="C47" s="8">
        <v>1099</v>
      </c>
      <c r="D47" s="8">
        <v>0</v>
      </c>
      <c r="E47" s="8">
        <v>277704</v>
      </c>
      <c r="F47" s="8">
        <f>C47+D47+E47</f>
        <v>278803</v>
      </c>
      <c r="G47" s="8">
        <v>278803</v>
      </c>
      <c r="H47" s="8">
        <v>0</v>
      </c>
      <c r="I47" s="8">
        <f>G47+H47</f>
        <v>278803</v>
      </c>
      <c r="J47" s="8">
        <f>I47-F47</f>
        <v>0</v>
      </c>
    </row>
    <row r="48" spans="1:10" x14ac:dyDescent="0.2">
      <c r="A48" s="7"/>
      <c r="B48" s="7"/>
      <c r="C48" s="4"/>
      <c r="D48" s="4"/>
      <c r="H48" s="4"/>
    </row>
    <row r="49" spans="1:10" s="7" customFormat="1" x14ac:dyDescent="0.2">
      <c r="A49" s="1" t="s">
        <v>153</v>
      </c>
      <c r="B49" s="7">
        <v>89800</v>
      </c>
      <c r="C49" s="8">
        <f>schedule14!K75</f>
        <v>0</v>
      </c>
      <c r="D49" s="8">
        <v>0</v>
      </c>
      <c r="E49" s="8">
        <f>'IHSS SUMMARY'!K20</f>
        <v>277173</v>
      </c>
      <c r="F49" s="8">
        <f>C49+D49+E49</f>
        <v>277173</v>
      </c>
      <c r="G49" s="8">
        <f>'IHSS SUMMARY'!K35</f>
        <v>277173</v>
      </c>
      <c r="H49" s="8">
        <v>0</v>
      </c>
      <c r="I49" s="8">
        <f>G49+H49</f>
        <v>277173</v>
      </c>
      <c r="J49" s="8">
        <f>I49-F49</f>
        <v>0</v>
      </c>
    </row>
    <row r="51" spans="1:10" s="7" customFormat="1" x14ac:dyDescent="0.2">
      <c r="C51" s="8"/>
      <c r="D51" s="8"/>
      <c r="E51" s="8"/>
      <c r="F51" s="8"/>
      <c r="G51" s="8"/>
      <c r="H51" s="8"/>
      <c r="I51" s="8"/>
      <c r="J51" s="8"/>
    </row>
  </sheetData>
  <printOptions gridLines="1"/>
  <pageMargins left="0.7" right="0.7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opLeftCell="A34" zoomScaleNormal="100" workbookViewId="0">
      <selection activeCell="E75" sqref="E75"/>
    </sheetView>
  </sheetViews>
  <sheetFormatPr defaultRowHeight="11.25" x14ac:dyDescent="0.2"/>
  <cols>
    <col min="1" max="1" width="31.140625" style="1" bestFit="1" customWidth="1"/>
    <col min="2" max="6" width="9.140625" style="1"/>
    <col min="7" max="7" width="12.28515625" style="3" bestFit="1" customWidth="1"/>
    <col min="8" max="8" width="13.140625" style="3" bestFit="1" customWidth="1"/>
    <col min="9" max="9" width="14.5703125" style="3" customWidth="1"/>
    <col min="10" max="10" width="11.7109375" style="3" bestFit="1" customWidth="1"/>
    <col min="11" max="11" width="12.7109375" style="3" bestFit="1" customWidth="1"/>
    <col min="12" max="13" width="9.140625" style="3"/>
    <col min="14" max="16384" width="9.140625" style="1"/>
  </cols>
  <sheetData>
    <row r="1" spans="1:14" x14ac:dyDescent="0.2">
      <c r="A1" s="1" t="s">
        <v>0</v>
      </c>
      <c r="H1" s="4"/>
      <c r="I1" s="4" t="s">
        <v>89</v>
      </c>
      <c r="J1" s="4"/>
      <c r="K1" s="3" t="s">
        <v>90</v>
      </c>
    </row>
    <row r="2" spans="1:14" x14ac:dyDescent="0.2">
      <c r="A2" s="1" t="s">
        <v>1</v>
      </c>
      <c r="H2" s="4"/>
      <c r="I2" s="4" t="s">
        <v>91</v>
      </c>
      <c r="J2" s="4"/>
      <c r="K2" s="3" t="s">
        <v>5</v>
      </c>
    </row>
    <row r="3" spans="1:14" x14ac:dyDescent="0.2">
      <c r="H3" s="4"/>
      <c r="I3" s="4"/>
      <c r="J3" s="4"/>
      <c r="K3" s="3" t="s">
        <v>59</v>
      </c>
    </row>
    <row r="4" spans="1:14" x14ac:dyDescent="0.2">
      <c r="H4" s="4"/>
      <c r="I4" s="4"/>
      <c r="J4" s="4"/>
    </row>
    <row r="5" spans="1:14" x14ac:dyDescent="0.2">
      <c r="G5" s="4"/>
      <c r="H5" s="4" t="s">
        <v>88</v>
      </c>
      <c r="I5" s="4"/>
      <c r="J5" s="4"/>
      <c r="K5" s="4" t="s">
        <v>6</v>
      </c>
      <c r="L5" s="4" t="s">
        <v>88</v>
      </c>
      <c r="M5" s="4"/>
      <c r="N5" s="2"/>
    </row>
    <row r="6" spans="1:14" x14ac:dyDescent="0.2">
      <c r="G6" s="4" t="s">
        <v>6</v>
      </c>
      <c r="H6" s="4" t="s">
        <v>88</v>
      </c>
      <c r="I6" s="4" t="s">
        <v>88</v>
      </c>
      <c r="J6" s="4"/>
      <c r="K6" s="4" t="s">
        <v>92</v>
      </c>
      <c r="L6" s="4" t="s">
        <v>88</v>
      </c>
      <c r="M6" s="4"/>
      <c r="N6" s="2"/>
    </row>
    <row r="7" spans="1:14" x14ac:dyDescent="0.2">
      <c r="G7" s="4" t="s">
        <v>93</v>
      </c>
      <c r="H7" s="4" t="s">
        <v>88</v>
      </c>
      <c r="I7" s="4" t="s">
        <v>94</v>
      </c>
      <c r="J7" s="4" t="s">
        <v>88</v>
      </c>
      <c r="K7" s="4" t="s">
        <v>95</v>
      </c>
      <c r="L7" s="4" t="s">
        <v>88</v>
      </c>
      <c r="M7" s="4"/>
      <c r="N7" s="2"/>
    </row>
    <row r="8" spans="1:14" x14ac:dyDescent="0.2">
      <c r="G8" s="4" t="s">
        <v>96</v>
      </c>
      <c r="H8" s="4" t="s">
        <v>88</v>
      </c>
      <c r="I8" s="4" t="s">
        <v>97</v>
      </c>
      <c r="J8" s="4" t="s">
        <v>88</v>
      </c>
      <c r="K8" s="4" t="s">
        <v>77</v>
      </c>
      <c r="L8" s="4" t="s">
        <v>88</v>
      </c>
      <c r="M8" s="4"/>
      <c r="N8" s="2"/>
    </row>
    <row r="9" spans="1:14" x14ac:dyDescent="0.2">
      <c r="A9" s="1" t="s">
        <v>76</v>
      </c>
      <c r="G9" s="4" t="s">
        <v>77</v>
      </c>
      <c r="H9" s="4" t="s">
        <v>98</v>
      </c>
      <c r="I9" s="4" t="s">
        <v>70</v>
      </c>
      <c r="J9" s="4" t="s">
        <v>78</v>
      </c>
      <c r="K9" s="4" t="s">
        <v>99</v>
      </c>
      <c r="L9" s="4" t="s">
        <v>88</v>
      </c>
      <c r="M9" s="4"/>
      <c r="N9" s="2"/>
    </row>
    <row r="13" spans="1:14" x14ac:dyDescent="0.2">
      <c r="A13" s="9" t="s">
        <v>117</v>
      </c>
      <c r="B13" s="7">
        <v>89800</v>
      </c>
      <c r="C13" s="7"/>
      <c r="D13" s="7"/>
      <c r="E13" s="7"/>
      <c r="F13" s="7"/>
      <c r="G13" s="8"/>
      <c r="H13" s="8"/>
      <c r="I13" s="8"/>
      <c r="J13" s="8"/>
      <c r="K13" s="8"/>
    </row>
    <row r="14" spans="1:14" x14ac:dyDescent="0.2">
      <c r="H14" s="8"/>
      <c r="J14" s="8"/>
      <c r="K14" s="8"/>
    </row>
    <row r="15" spans="1:14" x14ac:dyDescent="0.2">
      <c r="A15" s="7" t="s">
        <v>83</v>
      </c>
      <c r="B15" s="1">
        <v>89800</v>
      </c>
      <c r="G15" s="3">
        <v>46950.6</v>
      </c>
      <c r="I15" s="3">
        <v>10000</v>
      </c>
      <c r="J15" s="8"/>
      <c r="K15" s="8">
        <f>ROUND(SUM(G15-H15-I15-J15),0)</f>
        <v>36951</v>
      </c>
    </row>
    <row r="18" spans="1:11" x14ac:dyDescent="0.2">
      <c r="A18" s="7" t="s">
        <v>84</v>
      </c>
      <c r="B18" s="1">
        <v>89800</v>
      </c>
      <c r="G18" s="3">
        <v>61574.01</v>
      </c>
      <c r="I18" s="3">
        <v>46951</v>
      </c>
      <c r="J18" s="8"/>
      <c r="K18" s="8">
        <f>ROUND(SUM(G18-H18-I18-J18),0)</f>
        <v>14623</v>
      </c>
    </row>
    <row r="20" spans="1:11" x14ac:dyDescent="0.2">
      <c r="A20" s="7"/>
      <c r="H20" s="8"/>
      <c r="J20" s="8"/>
      <c r="K20" s="8"/>
    </row>
    <row r="21" spans="1:11" x14ac:dyDescent="0.2">
      <c r="A21" s="7" t="s">
        <v>85</v>
      </c>
      <c r="B21" s="1">
        <v>89800</v>
      </c>
      <c r="G21" s="3">
        <v>11915.77</v>
      </c>
      <c r="I21" s="8">
        <v>46951</v>
      </c>
      <c r="J21" s="8"/>
      <c r="K21" s="8">
        <f>ROUND(SUM(G21-H21-I21-J21),0)</f>
        <v>-35035</v>
      </c>
    </row>
    <row r="22" spans="1:11" x14ac:dyDescent="0.2">
      <c r="A22" s="7"/>
      <c r="H22" s="8"/>
      <c r="J22" s="8"/>
      <c r="K22" s="8"/>
    </row>
    <row r="23" spans="1:11" x14ac:dyDescent="0.2">
      <c r="A23" s="7"/>
      <c r="H23" s="8"/>
      <c r="J23" s="8"/>
      <c r="K23" s="8"/>
    </row>
    <row r="24" spans="1:11" x14ac:dyDescent="0.2">
      <c r="A24" s="7" t="s">
        <v>86</v>
      </c>
      <c r="B24" s="1">
        <v>89800</v>
      </c>
      <c r="G24" s="3">
        <v>23287.89</v>
      </c>
      <c r="I24" s="3">
        <v>46951</v>
      </c>
      <c r="K24" s="8">
        <f>ROUND(SUM(G24-H24-I24-J24),0)</f>
        <v>-23663</v>
      </c>
    </row>
    <row r="25" spans="1:11" x14ac:dyDescent="0.2">
      <c r="A25" s="7"/>
      <c r="H25" s="8"/>
      <c r="J25" s="8"/>
      <c r="K25" s="8"/>
    </row>
    <row r="26" spans="1:11" x14ac:dyDescent="0.2">
      <c r="A26" s="7"/>
      <c r="H26" s="8"/>
      <c r="J26" s="8"/>
      <c r="K26" s="8"/>
    </row>
    <row r="27" spans="1:11" x14ac:dyDescent="0.2">
      <c r="A27" s="1" t="s">
        <v>50</v>
      </c>
      <c r="B27" s="1">
        <v>89800</v>
      </c>
      <c r="G27" s="3">
        <v>107932.79</v>
      </c>
      <c r="I27" s="3">
        <v>24177.89</v>
      </c>
      <c r="K27" s="8">
        <f>ROUND(SUM(G27-H27-I27-J27),0)</f>
        <v>83755</v>
      </c>
    </row>
    <row r="28" spans="1:11" x14ac:dyDescent="0.2">
      <c r="K28" s="8"/>
    </row>
    <row r="29" spans="1:11" x14ac:dyDescent="0.2">
      <c r="K29" s="8"/>
    </row>
    <row r="30" spans="1:11" x14ac:dyDescent="0.2">
      <c r="A30" s="7" t="s">
        <v>53</v>
      </c>
      <c r="B30" s="1">
        <v>89800</v>
      </c>
      <c r="C30" s="2" t="s">
        <v>100</v>
      </c>
      <c r="D30" s="2" t="s">
        <v>101</v>
      </c>
      <c r="E30" s="2" t="s">
        <v>102</v>
      </c>
      <c r="F30" s="2" t="s">
        <v>103</v>
      </c>
      <c r="H30" s="8"/>
      <c r="J30" s="8"/>
      <c r="K30" s="8"/>
    </row>
    <row r="31" spans="1:11" x14ac:dyDescent="0.2">
      <c r="A31" s="7"/>
      <c r="C31" s="2" t="s">
        <v>104</v>
      </c>
      <c r="D31" s="2" t="s">
        <v>66</v>
      </c>
      <c r="E31" s="2" t="s">
        <v>105</v>
      </c>
      <c r="F31" s="15"/>
      <c r="H31" s="8"/>
      <c r="J31" s="8"/>
      <c r="K31" s="8"/>
    </row>
    <row r="32" spans="1:11" x14ac:dyDescent="0.2">
      <c r="A32" s="7"/>
      <c r="C32" s="1">
        <v>101798</v>
      </c>
      <c r="D32" s="1">
        <v>86148.11</v>
      </c>
      <c r="E32" s="1">
        <v>5877.16</v>
      </c>
      <c r="F32" s="1">
        <f>D32-E32</f>
        <v>80270.95</v>
      </c>
      <c r="K32" s="8"/>
    </row>
    <row r="33" spans="1:11" ht="12" thickBot="1" x14ac:dyDescent="0.25">
      <c r="A33" s="7"/>
      <c r="D33" s="16">
        <f>SUM(D32:D32)</f>
        <v>86148.11</v>
      </c>
      <c r="E33" s="16">
        <f>SUM(E32:E32)</f>
        <v>5877.16</v>
      </c>
      <c r="F33" s="16">
        <f>SUM(F32:F32)</f>
        <v>80270.95</v>
      </c>
      <c r="G33" s="3">
        <f>F33</f>
        <v>80270.95</v>
      </c>
      <c r="I33" s="8">
        <f>192795.89</f>
        <v>192795.89</v>
      </c>
      <c r="K33" s="8">
        <f>ROUND(SUM(G33-H33-I33-J33),0)</f>
        <v>-112525</v>
      </c>
    </row>
    <row r="34" spans="1:11" ht="12" thickTop="1" x14ac:dyDescent="0.2">
      <c r="A34" s="7"/>
      <c r="K34" s="8"/>
    </row>
    <row r="35" spans="1:11" x14ac:dyDescent="0.2">
      <c r="A35" s="7" t="s">
        <v>55</v>
      </c>
      <c r="B35" s="1">
        <v>89800</v>
      </c>
      <c r="C35" s="2" t="s">
        <v>100</v>
      </c>
      <c r="D35" s="2" t="s">
        <v>101</v>
      </c>
      <c r="E35" s="2" t="s">
        <v>102</v>
      </c>
      <c r="F35" s="2" t="s">
        <v>103</v>
      </c>
      <c r="K35" s="8"/>
    </row>
    <row r="36" spans="1:11" x14ac:dyDescent="0.2">
      <c r="C36" s="2" t="s">
        <v>104</v>
      </c>
      <c r="D36" s="2" t="s">
        <v>66</v>
      </c>
      <c r="E36" s="2" t="s">
        <v>105</v>
      </c>
      <c r="F36" s="15"/>
    </row>
    <row r="37" spans="1:11" x14ac:dyDescent="0.2">
      <c r="C37" s="1">
        <v>101798</v>
      </c>
      <c r="D37" s="1">
        <v>61741.48</v>
      </c>
      <c r="E37" s="1">
        <v>5030.8900000000003</v>
      </c>
      <c r="F37" s="1">
        <f>D37-E37</f>
        <v>56710.590000000004</v>
      </c>
      <c r="K37" s="8"/>
    </row>
    <row r="38" spans="1:11" ht="12" thickBot="1" x14ac:dyDescent="0.25">
      <c r="A38" s="7"/>
      <c r="D38" s="16">
        <f>SUM(D37:D37)</f>
        <v>61741.48</v>
      </c>
      <c r="E38" s="16">
        <f>SUM(E37:E37)</f>
        <v>5030.8900000000003</v>
      </c>
      <c r="F38" s="16">
        <f>SUM(F37:F37)</f>
        <v>56710.590000000004</v>
      </c>
      <c r="G38" s="3">
        <f>F38</f>
        <v>56710.590000000004</v>
      </c>
      <c r="I38" s="8">
        <f>192795.89</f>
        <v>192795.89</v>
      </c>
      <c r="K38" s="8">
        <f>ROUND(SUM(G38-H38-I38-J38),0)</f>
        <v>-136085</v>
      </c>
    </row>
    <row r="39" spans="1:11" ht="12" thickTop="1" x14ac:dyDescent="0.2"/>
    <row r="41" spans="1:11" x14ac:dyDescent="0.2">
      <c r="A41" s="1" t="s">
        <v>87</v>
      </c>
      <c r="B41" s="1">
        <v>89800</v>
      </c>
      <c r="C41" s="2" t="s">
        <v>100</v>
      </c>
      <c r="D41" s="2" t="s">
        <v>101</v>
      </c>
      <c r="E41" s="2" t="s">
        <v>102</v>
      </c>
      <c r="F41" s="2" t="s">
        <v>103</v>
      </c>
    </row>
    <row r="42" spans="1:11" x14ac:dyDescent="0.2">
      <c r="C42" s="2" t="s">
        <v>104</v>
      </c>
      <c r="D42" s="2" t="s">
        <v>66</v>
      </c>
      <c r="E42" s="2" t="s">
        <v>105</v>
      </c>
      <c r="F42" s="15"/>
    </row>
    <row r="43" spans="1:11" x14ac:dyDescent="0.2">
      <c r="C43" s="1">
        <v>101798</v>
      </c>
      <c r="D43" s="6">
        <v>44320.57</v>
      </c>
      <c r="E43" s="6">
        <v>5393.27</v>
      </c>
      <c r="F43" s="6">
        <f>D43-E43</f>
        <v>38927.300000000003</v>
      </c>
    </row>
    <row r="44" spans="1:11" ht="12" thickBot="1" x14ac:dyDescent="0.25">
      <c r="D44" s="19">
        <f>SUM(D43:D43)</f>
        <v>44320.57</v>
      </c>
      <c r="E44" s="19">
        <f>SUM(E43:E43)</f>
        <v>5393.27</v>
      </c>
      <c r="F44" s="19">
        <f>SUM(F43:F43)</f>
        <v>38927.300000000003</v>
      </c>
      <c r="G44" s="3">
        <f>F44</f>
        <v>38927.300000000003</v>
      </c>
      <c r="I44" s="8">
        <f>18756.89</f>
        <v>18756.89</v>
      </c>
      <c r="K44" s="8">
        <f>ROUND(SUM(G44-H44-I44-J44),0)</f>
        <v>20170</v>
      </c>
    </row>
    <row r="45" spans="1:11" ht="12" thickTop="1" x14ac:dyDescent="0.2">
      <c r="D45" s="20"/>
      <c r="E45" s="20"/>
      <c r="F45" s="20"/>
      <c r="I45" s="8"/>
      <c r="K45" s="8"/>
    </row>
    <row r="46" spans="1:11" x14ac:dyDescent="0.2">
      <c r="A46" s="1" t="s">
        <v>118</v>
      </c>
      <c r="B46" s="1">
        <v>89800</v>
      </c>
      <c r="C46" s="2" t="s">
        <v>100</v>
      </c>
      <c r="D46" s="2" t="s">
        <v>101</v>
      </c>
      <c r="E46" s="2" t="s">
        <v>102</v>
      </c>
      <c r="F46" s="2" t="s">
        <v>103</v>
      </c>
    </row>
    <row r="47" spans="1:11" x14ac:dyDescent="0.2">
      <c r="C47" s="2" t="s">
        <v>104</v>
      </c>
      <c r="D47" s="2" t="s">
        <v>66</v>
      </c>
      <c r="E47" s="2" t="s">
        <v>105</v>
      </c>
      <c r="F47" s="15"/>
    </row>
    <row r="48" spans="1:11" x14ac:dyDescent="0.2">
      <c r="C48" s="1">
        <v>101798</v>
      </c>
      <c r="D48" s="6">
        <v>6037.25</v>
      </c>
      <c r="E48" s="6">
        <v>6037.25</v>
      </c>
      <c r="F48" s="6">
        <f>D48-E48</f>
        <v>0</v>
      </c>
    </row>
    <row r="49" spans="1:11" ht="12" thickBot="1" x14ac:dyDescent="0.25">
      <c r="D49" s="19">
        <f>SUM(D48:D48)</f>
        <v>6037.25</v>
      </c>
      <c r="E49" s="19">
        <f>SUM(E48:E48)</f>
        <v>6037.25</v>
      </c>
      <c r="F49" s="19">
        <f>SUM(F48:F48)</f>
        <v>0</v>
      </c>
      <c r="G49" s="3">
        <f>F49</f>
        <v>0</v>
      </c>
      <c r="I49" s="8">
        <f>2790.89</f>
        <v>2790.89</v>
      </c>
      <c r="K49" s="8">
        <f>ROUND(SUM(G49-H49-I49-J49),0)</f>
        <v>-2791</v>
      </c>
    </row>
    <row r="50" spans="1:11" ht="12" thickTop="1" x14ac:dyDescent="0.2">
      <c r="D50" s="20"/>
      <c r="E50" s="20"/>
      <c r="F50" s="20"/>
      <c r="I50" s="8"/>
      <c r="K50" s="8"/>
    </row>
    <row r="51" spans="1:11" x14ac:dyDescent="0.2">
      <c r="A51" s="1" t="s">
        <v>120</v>
      </c>
      <c r="B51" s="1">
        <v>89800</v>
      </c>
      <c r="C51" s="2" t="s">
        <v>100</v>
      </c>
      <c r="D51" s="2" t="s">
        <v>101</v>
      </c>
      <c r="E51" s="2" t="s">
        <v>102</v>
      </c>
      <c r="F51" s="2" t="s">
        <v>103</v>
      </c>
    </row>
    <row r="52" spans="1:11" x14ac:dyDescent="0.2">
      <c r="C52" s="2" t="s">
        <v>104</v>
      </c>
      <c r="D52" s="2" t="s">
        <v>66</v>
      </c>
      <c r="E52" s="2" t="s">
        <v>105</v>
      </c>
      <c r="F52" s="15"/>
    </row>
    <row r="53" spans="1:11" x14ac:dyDescent="0.2">
      <c r="C53" s="1">
        <v>101798</v>
      </c>
      <c r="D53" s="6">
        <v>39125.269999999997</v>
      </c>
      <c r="E53" s="6">
        <v>6331.23</v>
      </c>
      <c r="F53" s="6">
        <f>D53-E53</f>
        <v>32794.039999999994</v>
      </c>
    </row>
    <row r="54" spans="1:11" ht="12" thickBot="1" x14ac:dyDescent="0.25">
      <c r="D54" s="19">
        <f>SUM(D53:D53)</f>
        <v>39125.269999999997</v>
      </c>
      <c r="E54" s="19">
        <f>SUM(E53:E53)</f>
        <v>6331.23</v>
      </c>
      <c r="F54" s="19">
        <f>SUM(F53:F53)</f>
        <v>32794.039999999994</v>
      </c>
      <c r="G54" s="3">
        <f>F54</f>
        <v>32794.039999999994</v>
      </c>
      <c r="I54" s="8">
        <f>100.89</f>
        <v>100.89</v>
      </c>
      <c r="K54" s="8">
        <f>ROUND(SUM(G54-H54-I54-J54),0)</f>
        <v>32693</v>
      </c>
    </row>
    <row r="55" spans="1:11" ht="12" thickTop="1" x14ac:dyDescent="0.2">
      <c r="D55" s="20"/>
      <c r="E55" s="20"/>
      <c r="F55" s="20"/>
      <c r="I55" s="8"/>
      <c r="K55" s="8"/>
    </row>
    <row r="56" spans="1:11" x14ac:dyDescent="0.2">
      <c r="A56" s="1" t="s">
        <v>131</v>
      </c>
      <c r="B56" s="1">
        <v>89800</v>
      </c>
      <c r="C56" s="2" t="s">
        <v>100</v>
      </c>
      <c r="D56" s="2" t="s">
        <v>101</v>
      </c>
      <c r="E56" s="2" t="s">
        <v>102</v>
      </c>
      <c r="F56" s="2" t="s">
        <v>103</v>
      </c>
    </row>
    <row r="57" spans="1:11" x14ac:dyDescent="0.2">
      <c r="C57" s="2" t="s">
        <v>104</v>
      </c>
      <c r="D57" s="2" t="s">
        <v>66</v>
      </c>
      <c r="E57" s="2" t="s">
        <v>105</v>
      </c>
      <c r="F57" s="15"/>
    </row>
    <row r="58" spans="1:11" x14ac:dyDescent="0.2">
      <c r="C58" s="1">
        <v>101798</v>
      </c>
      <c r="D58" s="6">
        <v>22111.86</v>
      </c>
      <c r="E58" s="6">
        <v>6883.22</v>
      </c>
      <c r="F58" s="6">
        <f>D58-E58</f>
        <v>15228.64</v>
      </c>
    </row>
    <row r="59" spans="1:11" ht="12" thickBot="1" x14ac:dyDescent="0.25">
      <c r="D59" s="19">
        <f>SUM(D58:D58)</f>
        <v>22111.86</v>
      </c>
      <c r="E59" s="19">
        <f>SUM(E58:E58)</f>
        <v>6883.22</v>
      </c>
      <c r="F59" s="19">
        <f>SUM(F58:F58)</f>
        <v>15228.64</v>
      </c>
      <c r="G59" s="3">
        <f>F59</f>
        <v>15228.64</v>
      </c>
      <c r="H59" s="3">
        <v>987.6</v>
      </c>
      <c r="I59" s="8">
        <v>13473.89</v>
      </c>
      <c r="K59" s="8">
        <f>ROUND(SUM(G59-H59-I59-J59),0)</f>
        <v>767</v>
      </c>
    </row>
    <row r="60" spans="1:11" ht="12" thickTop="1" x14ac:dyDescent="0.2">
      <c r="E60" s="2"/>
      <c r="F60" s="2"/>
    </row>
    <row r="61" spans="1:11" x14ac:dyDescent="0.2">
      <c r="A61" s="1" t="s">
        <v>132</v>
      </c>
      <c r="B61" s="1">
        <v>89800</v>
      </c>
      <c r="C61" s="2" t="s">
        <v>100</v>
      </c>
      <c r="D61" s="2" t="s">
        <v>101</v>
      </c>
      <c r="E61" s="2" t="s">
        <v>102</v>
      </c>
      <c r="F61" s="2" t="s">
        <v>103</v>
      </c>
    </row>
    <row r="62" spans="1:11" x14ac:dyDescent="0.2">
      <c r="C62" s="2" t="s">
        <v>104</v>
      </c>
      <c r="D62" s="2" t="s">
        <v>66</v>
      </c>
      <c r="E62" s="2" t="s">
        <v>105</v>
      </c>
      <c r="F62" s="15"/>
    </row>
    <row r="63" spans="1:11" x14ac:dyDescent="0.2">
      <c r="C63" s="1">
        <v>101798</v>
      </c>
      <c r="D63" s="6">
        <v>8088.06</v>
      </c>
      <c r="E63" s="6">
        <v>8088.06</v>
      </c>
      <c r="F63" s="6">
        <f>D63-E63</f>
        <v>0</v>
      </c>
    </row>
    <row r="64" spans="1:11" ht="12" thickBot="1" x14ac:dyDescent="0.25">
      <c r="D64" s="19">
        <f>SUM(D63:D63)</f>
        <v>8088.06</v>
      </c>
      <c r="E64" s="19">
        <f>SUM(E63:E63)</f>
        <v>8088.06</v>
      </c>
      <c r="F64" s="19">
        <f>SUM(F63:F63)</f>
        <v>0</v>
      </c>
      <c r="G64" s="3">
        <f>F64</f>
        <v>0</v>
      </c>
      <c r="H64" s="3">
        <v>0</v>
      </c>
      <c r="I64" s="8">
        <v>13473.89</v>
      </c>
      <c r="K64" s="8">
        <f>ROUND(SUM(G64-H64-I64-J64),0)</f>
        <v>-13474</v>
      </c>
    </row>
    <row r="65" spans="1:11" ht="12" thickTop="1" x14ac:dyDescent="0.2"/>
    <row r="66" spans="1:11" x14ac:dyDescent="0.2">
      <c r="A66" s="1" t="s">
        <v>135</v>
      </c>
      <c r="B66" s="1">
        <v>89800</v>
      </c>
      <c r="C66" s="2" t="s">
        <v>100</v>
      </c>
      <c r="D66" s="2" t="s">
        <v>101</v>
      </c>
      <c r="E66" s="2" t="s">
        <v>102</v>
      </c>
      <c r="F66" s="2" t="s">
        <v>103</v>
      </c>
    </row>
    <row r="67" spans="1:11" x14ac:dyDescent="0.2">
      <c r="C67" s="2" t="s">
        <v>104</v>
      </c>
      <c r="D67" s="2" t="s">
        <v>66</v>
      </c>
      <c r="E67" s="2" t="s">
        <v>105</v>
      </c>
      <c r="F67" s="15"/>
    </row>
    <row r="68" spans="1:11" x14ac:dyDescent="0.2">
      <c r="C68" s="1">
        <v>101798</v>
      </c>
      <c r="D68" s="6">
        <v>11155.48</v>
      </c>
      <c r="E68" s="6">
        <v>10056.94</v>
      </c>
      <c r="F68" s="6">
        <f>D68-E68</f>
        <v>1098.5399999999991</v>
      </c>
    </row>
    <row r="69" spans="1:11" ht="12" thickBot="1" x14ac:dyDescent="0.25">
      <c r="D69" s="19">
        <f>SUM(D68:D68)</f>
        <v>11155.48</v>
      </c>
      <c r="E69" s="19">
        <f>SUM(E68:E68)</f>
        <v>10056.94</v>
      </c>
      <c r="F69" s="19">
        <f>SUM(F68:F68)</f>
        <v>1098.5399999999991</v>
      </c>
      <c r="G69" s="3">
        <f>F69</f>
        <v>1098.5399999999991</v>
      </c>
      <c r="H69" s="3">
        <v>0</v>
      </c>
      <c r="I69" s="8">
        <v>0</v>
      </c>
      <c r="K69" s="8">
        <f>ROUND(SUM(G69-H69-I69-J69),0)</f>
        <v>1099</v>
      </c>
    </row>
    <row r="70" spans="1:11" ht="12" thickTop="1" x14ac:dyDescent="0.2"/>
    <row r="72" spans="1:11" x14ac:dyDescent="0.2">
      <c r="A72" s="1" t="s">
        <v>153</v>
      </c>
      <c r="B72" s="1">
        <v>89800</v>
      </c>
      <c r="C72" s="2" t="s">
        <v>100</v>
      </c>
      <c r="D72" s="2" t="s">
        <v>101</v>
      </c>
      <c r="E72" s="2" t="s">
        <v>102</v>
      </c>
      <c r="F72" s="2" t="s">
        <v>103</v>
      </c>
    </row>
    <row r="73" spans="1:11" x14ac:dyDescent="0.2">
      <c r="C73" s="2" t="s">
        <v>104</v>
      </c>
      <c r="D73" s="2" t="s">
        <v>66</v>
      </c>
      <c r="E73" s="2" t="s">
        <v>105</v>
      </c>
      <c r="F73" s="15"/>
    </row>
    <row r="74" spans="1:11" x14ac:dyDescent="0.2">
      <c r="C74" s="1">
        <v>101798</v>
      </c>
      <c r="D74" s="6">
        <v>17222.89</v>
      </c>
      <c r="E74" s="6">
        <v>17222.89</v>
      </c>
      <c r="F74" s="6">
        <f>D74-E74</f>
        <v>0</v>
      </c>
    </row>
    <row r="75" spans="1:11" ht="12" thickBot="1" x14ac:dyDescent="0.25">
      <c r="D75" s="19">
        <f>SUM(D74:D74)</f>
        <v>17222.89</v>
      </c>
      <c r="E75" s="19">
        <f>SUM(E74:E74)</f>
        <v>17222.89</v>
      </c>
      <c r="F75" s="19">
        <f>SUM(F74:F74)</f>
        <v>0</v>
      </c>
      <c r="G75" s="3">
        <f>F75</f>
        <v>0</v>
      </c>
      <c r="H75" s="3">
        <v>0</v>
      </c>
      <c r="I75" s="8">
        <v>0</v>
      </c>
      <c r="K75" s="8">
        <f>ROUND(SUM(G75-H75-I75-J75),0)</f>
        <v>0</v>
      </c>
    </row>
    <row r="76" spans="1:11" ht="12" thickTop="1" x14ac:dyDescent="0.2"/>
  </sheetData>
  <printOptions horizontalCentered="1"/>
  <pageMargins left="0.45" right="0.45" top="0.75" bottom="0.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opLeftCell="A13" workbookViewId="0">
      <selection activeCell="C57" sqref="C57"/>
    </sheetView>
  </sheetViews>
  <sheetFormatPr defaultRowHeight="11.25" x14ac:dyDescent="0.2"/>
  <cols>
    <col min="1" max="1" width="31.140625" style="1" bestFit="1" customWidth="1"/>
    <col min="2" max="2" width="9.140625" style="1"/>
    <col min="3" max="3" width="12" style="3" bestFit="1" customWidth="1"/>
    <col min="4" max="4" width="18" style="3" customWidth="1"/>
    <col min="5" max="5" width="9.7109375" style="3" bestFit="1" customWidth="1"/>
    <col min="6" max="6" width="12" style="3" bestFit="1" customWidth="1"/>
    <col min="7" max="7" width="20.140625" style="3" bestFit="1" customWidth="1"/>
    <col min="8" max="8" width="12.7109375" style="3" bestFit="1" customWidth="1"/>
    <col min="9" max="9" width="9.140625" style="3"/>
    <col min="10" max="16384" width="9.140625" style="1"/>
  </cols>
  <sheetData>
    <row r="1" spans="1:10" x14ac:dyDescent="0.2">
      <c r="A1" s="1" t="s">
        <v>0</v>
      </c>
      <c r="G1" s="4" t="s">
        <v>106</v>
      </c>
      <c r="H1" s="3" t="s">
        <v>107</v>
      </c>
    </row>
    <row r="2" spans="1:10" x14ac:dyDescent="0.2">
      <c r="A2" s="1" t="s">
        <v>1</v>
      </c>
      <c r="G2" s="4" t="s">
        <v>108</v>
      </c>
      <c r="H2" s="3" t="s">
        <v>5</v>
      </c>
    </row>
    <row r="3" spans="1:10" x14ac:dyDescent="0.2">
      <c r="D3" s="17" t="s">
        <v>109</v>
      </c>
      <c r="E3" s="4"/>
      <c r="G3" s="4" t="s">
        <v>110</v>
      </c>
      <c r="H3" s="3" t="s">
        <v>59</v>
      </c>
    </row>
    <row r="4" spans="1:10" x14ac:dyDescent="0.2">
      <c r="D4" s="17" t="s">
        <v>111</v>
      </c>
      <c r="E4" s="4"/>
      <c r="F4" s="4"/>
      <c r="G4" s="4" t="s">
        <v>112</v>
      </c>
    </row>
    <row r="5" spans="1:10" x14ac:dyDescent="0.2">
      <c r="D5" s="4"/>
      <c r="E5" s="4"/>
      <c r="F5" s="4"/>
    </row>
    <row r="6" spans="1:10" x14ac:dyDescent="0.2">
      <c r="C6" s="4"/>
      <c r="D6" s="4" t="s">
        <v>88</v>
      </c>
      <c r="E6" s="4" t="s">
        <v>113</v>
      </c>
      <c r="F6" s="4"/>
      <c r="G6" s="4" t="s">
        <v>113</v>
      </c>
      <c r="H6" s="4" t="s">
        <v>69</v>
      </c>
      <c r="I6" s="4"/>
      <c r="J6" s="2"/>
    </row>
    <row r="7" spans="1:10" x14ac:dyDescent="0.2">
      <c r="C7" s="4" t="s">
        <v>72</v>
      </c>
      <c r="D7" s="4" t="s">
        <v>88</v>
      </c>
      <c r="E7" s="4" t="s">
        <v>52</v>
      </c>
      <c r="F7" s="4"/>
      <c r="G7" s="4" t="s">
        <v>52</v>
      </c>
      <c r="H7" s="4" t="s">
        <v>72</v>
      </c>
      <c r="I7" s="4"/>
      <c r="J7" s="2"/>
    </row>
    <row r="8" spans="1:10" x14ac:dyDescent="0.2">
      <c r="C8" s="4" t="s">
        <v>78</v>
      </c>
      <c r="D8" s="4" t="s">
        <v>88</v>
      </c>
      <c r="E8" s="4" t="s">
        <v>114</v>
      </c>
      <c r="F8" s="4" t="s">
        <v>88</v>
      </c>
      <c r="G8" s="4" t="s">
        <v>114</v>
      </c>
      <c r="H8" s="4" t="s">
        <v>78</v>
      </c>
      <c r="I8" s="4"/>
      <c r="J8" s="2"/>
    </row>
    <row r="9" spans="1:10" x14ac:dyDescent="0.2">
      <c r="C9" s="4" t="s">
        <v>96</v>
      </c>
      <c r="D9" s="4" t="s">
        <v>88</v>
      </c>
      <c r="E9" s="4" t="s">
        <v>115</v>
      </c>
      <c r="F9" s="4" t="s">
        <v>88</v>
      </c>
      <c r="G9" s="4" t="s">
        <v>115</v>
      </c>
      <c r="H9" s="4" t="s">
        <v>65</v>
      </c>
      <c r="I9" s="4"/>
      <c r="J9" s="2"/>
    </row>
    <row r="10" spans="1:10" x14ac:dyDescent="0.2">
      <c r="A10" s="1" t="s">
        <v>76</v>
      </c>
      <c r="C10" s="4" t="s">
        <v>77</v>
      </c>
      <c r="D10" s="4" t="s">
        <v>51</v>
      </c>
      <c r="E10" s="4" t="s">
        <v>116</v>
      </c>
      <c r="F10" s="4" t="s">
        <v>51</v>
      </c>
      <c r="G10" s="4" t="s">
        <v>116</v>
      </c>
      <c r="H10" s="4" t="s">
        <v>112</v>
      </c>
      <c r="I10" s="4"/>
      <c r="J10" s="2"/>
    </row>
    <row r="14" spans="1:10" x14ac:dyDescent="0.2">
      <c r="A14" s="9" t="s">
        <v>117</v>
      </c>
      <c r="B14" s="7">
        <v>89800</v>
      </c>
      <c r="C14" s="8"/>
      <c r="D14" s="8"/>
      <c r="E14" s="8"/>
      <c r="F14" s="8"/>
      <c r="G14" s="8"/>
      <c r="H14" s="8"/>
    </row>
    <row r="15" spans="1:10" x14ac:dyDescent="0.2">
      <c r="A15" s="7"/>
      <c r="C15" s="8"/>
    </row>
    <row r="16" spans="1:10" x14ac:dyDescent="0.2">
      <c r="A16" s="7" t="s">
        <v>83</v>
      </c>
      <c r="B16" s="7">
        <v>89800</v>
      </c>
      <c r="C16" s="8">
        <v>10000</v>
      </c>
      <c r="G16" s="3">
        <v>36951</v>
      </c>
      <c r="H16" s="8">
        <f>C16-D16-E16+G16</f>
        <v>46951</v>
      </c>
    </row>
    <row r="17" spans="1:8" x14ac:dyDescent="0.2">
      <c r="C17" s="8"/>
    </row>
    <row r="18" spans="1:8" x14ac:dyDescent="0.2">
      <c r="C18" s="8"/>
    </row>
    <row r="19" spans="1:8" x14ac:dyDescent="0.2">
      <c r="A19" s="7" t="s">
        <v>84</v>
      </c>
      <c r="B19" s="7">
        <v>89800</v>
      </c>
      <c r="C19" s="8">
        <v>46951</v>
      </c>
      <c r="H19" s="8">
        <f>C19-D19-E19+G19</f>
        <v>46951</v>
      </c>
    </row>
    <row r="20" spans="1:8" x14ac:dyDescent="0.2">
      <c r="C20" s="8"/>
    </row>
    <row r="21" spans="1:8" x14ac:dyDescent="0.2">
      <c r="A21" s="7"/>
      <c r="C21" s="8"/>
    </row>
    <row r="22" spans="1:8" x14ac:dyDescent="0.2">
      <c r="A22" s="7" t="s">
        <v>85</v>
      </c>
      <c r="B22" s="7">
        <v>89800</v>
      </c>
      <c r="C22" s="8">
        <v>46951</v>
      </c>
      <c r="H22" s="8">
        <f>C22-D22-E22+G22</f>
        <v>46951</v>
      </c>
    </row>
    <row r="23" spans="1:8" x14ac:dyDescent="0.2">
      <c r="A23" s="7"/>
      <c r="C23" s="8"/>
    </row>
    <row r="24" spans="1:8" x14ac:dyDescent="0.2">
      <c r="A24" s="7"/>
      <c r="C24" s="8"/>
    </row>
    <row r="25" spans="1:8" x14ac:dyDescent="0.2">
      <c r="A25" s="7" t="s">
        <v>86</v>
      </c>
      <c r="B25" s="7">
        <v>89800</v>
      </c>
      <c r="C25" s="8">
        <v>46951</v>
      </c>
      <c r="D25" s="8">
        <v>22773.11</v>
      </c>
      <c r="H25" s="8">
        <f>C25-D25-E25+G25</f>
        <v>24177.89</v>
      </c>
    </row>
    <row r="26" spans="1:8" x14ac:dyDescent="0.2">
      <c r="C26" s="8"/>
    </row>
    <row r="27" spans="1:8" x14ac:dyDescent="0.2">
      <c r="A27" s="7"/>
      <c r="C27" s="8"/>
    </row>
    <row r="28" spans="1:8" x14ac:dyDescent="0.2">
      <c r="A28" s="7" t="s">
        <v>50</v>
      </c>
      <c r="B28" s="7">
        <v>89800</v>
      </c>
      <c r="C28" s="8">
        <v>24177.89</v>
      </c>
      <c r="E28" s="5"/>
      <c r="G28" s="3">
        <v>168618</v>
      </c>
      <c r="H28" s="8">
        <f>C28-D28-E28+G28</f>
        <v>192795.89</v>
      </c>
    </row>
    <row r="30" spans="1:8" x14ac:dyDescent="0.2">
      <c r="A30" s="7"/>
    </row>
    <row r="31" spans="1:8" x14ac:dyDescent="0.2">
      <c r="A31" s="7" t="s">
        <v>53</v>
      </c>
      <c r="B31" s="7">
        <v>89800</v>
      </c>
      <c r="C31" s="8">
        <v>192795.89</v>
      </c>
      <c r="E31" s="8"/>
      <c r="H31" s="8">
        <f>C31-D31-E31+G31</f>
        <v>192795.89</v>
      </c>
    </row>
    <row r="32" spans="1:8" x14ac:dyDescent="0.2">
      <c r="A32" s="7"/>
      <c r="C32" s="8"/>
      <c r="H32" s="8"/>
    </row>
    <row r="33" spans="1:8" x14ac:dyDescent="0.2">
      <c r="A33" s="7"/>
      <c r="C33" s="8"/>
      <c r="H33" s="8"/>
    </row>
    <row r="34" spans="1:8" x14ac:dyDescent="0.2">
      <c r="A34" s="7" t="s">
        <v>55</v>
      </c>
      <c r="B34" s="7">
        <v>89800</v>
      </c>
      <c r="C34" s="8">
        <v>192795.89</v>
      </c>
      <c r="D34" s="3">
        <v>174039</v>
      </c>
      <c r="E34" s="8"/>
      <c r="H34" s="8">
        <f>C34-D34-E34+G34</f>
        <v>18756.890000000014</v>
      </c>
    </row>
    <row r="35" spans="1:8" x14ac:dyDescent="0.2">
      <c r="A35" s="7"/>
      <c r="C35" s="8"/>
      <c r="E35" s="5"/>
      <c r="H35" s="8"/>
    </row>
    <row r="36" spans="1:8" x14ac:dyDescent="0.2">
      <c r="A36" s="7"/>
      <c r="C36" s="8"/>
      <c r="E36" s="5"/>
      <c r="H36" s="8"/>
    </row>
    <row r="37" spans="1:8" x14ac:dyDescent="0.2">
      <c r="A37" s="7" t="s">
        <v>87</v>
      </c>
      <c r="B37" s="7">
        <v>89800</v>
      </c>
      <c r="C37" s="8">
        <v>18756.89</v>
      </c>
      <c r="D37" s="3">
        <v>15966</v>
      </c>
      <c r="E37" s="5"/>
      <c r="H37" s="8">
        <f>C37-D37-E37+G37</f>
        <v>2790.8899999999994</v>
      </c>
    </row>
    <row r="38" spans="1:8" x14ac:dyDescent="0.2">
      <c r="A38" s="7"/>
      <c r="C38" s="8"/>
      <c r="E38" s="5"/>
      <c r="H38" s="8"/>
    </row>
    <row r="39" spans="1:8" x14ac:dyDescent="0.2">
      <c r="A39" s="7"/>
      <c r="C39" s="8"/>
      <c r="E39" s="5"/>
      <c r="H39" s="8"/>
    </row>
    <row r="40" spans="1:8" x14ac:dyDescent="0.2">
      <c r="A40" s="7" t="s">
        <v>118</v>
      </c>
      <c r="B40" s="7">
        <v>89800</v>
      </c>
      <c r="C40" s="8">
        <v>2790.89</v>
      </c>
      <c r="D40" s="3">
        <v>2690</v>
      </c>
      <c r="E40" s="5"/>
      <c r="H40" s="8">
        <f>C40-D40-E40+G40</f>
        <v>100.88999999999987</v>
      </c>
    </row>
    <row r="41" spans="1:8" x14ac:dyDescent="0.2">
      <c r="A41" s="7"/>
      <c r="C41" s="13"/>
      <c r="D41" s="18"/>
      <c r="E41" s="18"/>
      <c r="F41" s="18"/>
      <c r="G41" s="13"/>
      <c r="H41" s="13"/>
    </row>
    <row r="42" spans="1:8" x14ac:dyDescent="0.2">
      <c r="A42" s="7"/>
      <c r="B42" s="15"/>
      <c r="C42" s="13"/>
      <c r="D42" s="18"/>
      <c r="E42" s="18"/>
      <c r="F42" s="18"/>
      <c r="G42" s="13"/>
      <c r="H42" s="18"/>
    </row>
    <row r="43" spans="1:8" x14ac:dyDescent="0.2">
      <c r="A43" s="7" t="s">
        <v>120</v>
      </c>
      <c r="B43" s="7">
        <v>89800</v>
      </c>
      <c r="C43" s="8">
        <v>100.89</v>
      </c>
      <c r="E43" s="5"/>
      <c r="G43" s="3">
        <v>13373</v>
      </c>
      <c r="H43" s="8">
        <f>C43-D43-E43+G43</f>
        <v>13473.89</v>
      </c>
    </row>
    <row r="44" spans="1:8" x14ac:dyDescent="0.2">
      <c r="A44" s="7"/>
      <c r="B44" s="15"/>
      <c r="C44" s="13"/>
      <c r="D44" s="18"/>
      <c r="E44" s="18"/>
      <c r="F44" s="18"/>
      <c r="G44" s="18"/>
      <c r="H44" s="18"/>
    </row>
    <row r="45" spans="1:8" x14ac:dyDescent="0.2">
      <c r="A45" s="7" t="s">
        <v>131</v>
      </c>
      <c r="B45" s="7">
        <v>89800</v>
      </c>
      <c r="C45" s="8">
        <v>13473.89</v>
      </c>
      <c r="E45" s="5"/>
      <c r="G45" s="3">
        <v>0</v>
      </c>
      <c r="H45" s="8">
        <f>C45-D45-E45+G45</f>
        <v>13473.89</v>
      </c>
    </row>
    <row r="46" spans="1:8" x14ac:dyDescent="0.2">
      <c r="A46" s="7"/>
      <c r="C46" s="13"/>
      <c r="D46" s="18"/>
      <c r="E46" s="18"/>
      <c r="F46" s="18"/>
      <c r="G46" s="18"/>
      <c r="H46" s="13"/>
    </row>
    <row r="47" spans="1:8" x14ac:dyDescent="0.2">
      <c r="A47" s="7" t="s">
        <v>132</v>
      </c>
      <c r="B47" s="7">
        <v>89800</v>
      </c>
      <c r="C47" s="8">
        <v>13473.89</v>
      </c>
      <c r="E47" s="5">
        <v>13474</v>
      </c>
      <c r="G47" s="3">
        <v>0</v>
      </c>
      <c r="H47" s="8">
        <f>C47-D47-E47+G47</f>
        <v>-0.11000000000058208</v>
      </c>
    </row>
    <row r="48" spans="1:8" x14ac:dyDescent="0.2">
      <c r="A48" s="7"/>
      <c r="C48" s="13"/>
      <c r="D48" s="18"/>
      <c r="E48" s="18"/>
      <c r="F48" s="18"/>
      <c r="G48" s="18"/>
      <c r="H48" s="13"/>
    </row>
    <row r="49" spans="1:8" x14ac:dyDescent="0.2">
      <c r="A49" s="7" t="s">
        <v>135</v>
      </c>
      <c r="B49" s="7">
        <v>89800</v>
      </c>
      <c r="C49" s="8">
        <v>0</v>
      </c>
      <c r="E49" s="5">
        <v>0</v>
      </c>
      <c r="G49" s="3">
        <v>0</v>
      </c>
      <c r="H49" s="8">
        <f>C49-D49-E49+G49</f>
        <v>0</v>
      </c>
    </row>
    <row r="50" spans="1:8" x14ac:dyDescent="0.2">
      <c r="A50" s="7"/>
      <c r="C50" s="13"/>
      <c r="D50" s="18"/>
      <c r="E50" s="18"/>
      <c r="F50" s="18"/>
      <c r="G50" s="18"/>
      <c r="H50" s="18"/>
    </row>
    <row r="51" spans="1:8" x14ac:dyDescent="0.2">
      <c r="A51" s="7" t="s">
        <v>135</v>
      </c>
      <c r="B51" s="7">
        <v>89800</v>
      </c>
      <c r="C51" s="8">
        <v>0</v>
      </c>
      <c r="E51" s="5">
        <v>0</v>
      </c>
      <c r="G51" s="3">
        <v>0</v>
      </c>
      <c r="H51" s="8">
        <f>C51-D51-E51+G51</f>
        <v>0</v>
      </c>
    </row>
    <row r="52" spans="1:8" x14ac:dyDescent="0.2">
      <c r="A52" s="7"/>
      <c r="C52" s="13"/>
      <c r="D52" s="18"/>
      <c r="E52" s="18"/>
      <c r="F52" s="18"/>
      <c r="G52" s="18"/>
      <c r="H52" s="18"/>
    </row>
    <row r="53" spans="1:8" x14ac:dyDescent="0.2">
      <c r="C53" s="13"/>
      <c r="D53" s="18"/>
      <c r="E53" s="18"/>
      <c r="F53" s="18"/>
      <c r="G53" s="18"/>
      <c r="H53" s="18"/>
    </row>
    <row r="54" spans="1:8" x14ac:dyDescent="0.2">
      <c r="C54" s="13"/>
      <c r="D54" s="18"/>
      <c r="E54" s="18"/>
      <c r="F54" s="18"/>
      <c r="G54" s="18"/>
      <c r="H54" s="13"/>
    </row>
    <row r="55" spans="1:8" x14ac:dyDescent="0.2">
      <c r="C55" s="8"/>
    </row>
    <row r="56" spans="1:8" x14ac:dyDescent="0.2">
      <c r="C56" s="8"/>
      <c r="H56" s="8"/>
    </row>
    <row r="57" spans="1:8" x14ac:dyDescent="0.2">
      <c r="C57" s="8"/>
    </row>
    <row r="58" spans="1:8" x14ac:dyDescent="0.2">
      <c r="C58" s="8"/>
      <c r="H58" s="8"/>
    </row>
    <row r="59" spans="1:8" x14ac:dyDescent="0.2">
      <c r="C59" s="8"/>
    </row>
    <row r="60" spans="1:8" x14ac:dyDescent="0.2">
      <c r="C60" s="8"/>
      <c r="H60" s="8"/>
    </row>
    <row r="61" spans="1:8" x14ac:dyDescent="0.2">
      <c r="C61" s="8"/>
    </row>
    <row r="62" spans="1:8" x14ac:dyDescent="0.2">
      <c r="C62" s="8"/>
      <c r="H62" s="8"/>
    </row>
    <row r="63" spans="1:8" x14ac:dyDescent="0.2">
      <c r="C63" s="8"/>
    </row>
    <row r="64" spans="1:8" x14ac:dyDescent="0.2">
      <c r="C64" s="8"/>
    </row>
    <row r="65" spans="1:8" x14ac:dyDescent="0.2">
      <c r="A65" s="2"/>
      <c r="B65" s="2"/>
      <c r="C65" s="8"/>
      <c r="D65" s="8"/>
      <c r="E65" s="8"/>
      <c r="F65" s="8"/>
      <c r="G65" s="8"/>
    </row>
    <row r="67" spans="1:8" x14ac:dyDescent="0.2">
      <c r="C67" s="4"/>
      <c r="E67" s="4"/>
      <c r="G67" s="4"/>
      <c r="H67" s="4"/>
    </row>
    <row r="68" spans="1:8" x14ac:dyDescent="0.2">
      <c r="C68" s="4"/>
      <c r="E68" s="4"/>
      <c r="G68" s="4"/>
      <c r="H68" s="4"/>
    </row>
    <row r="69" spans="1:8" x14ac:dyDescent="0.2">
      <c r="E69" s="4"/>
      <c r="G69" s="4"/>
      <c r="H69" s="4"/>
    </row>
    <row r="73" spans="1:8" x14ac:dyDescent="0.2">
      <c r="C73" s="8"/>
      <c r="H73" s="8"/>
    </row>
  </sheetData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IHSS DETAIL</vt:lpstr>
      <vt:lpstr>19-20 Salary Detail</vt:lpstr>
      <vt:lpstr>IHSS SUMMARY</vt:lpstr>
      <vt:lpstr>schedule13</vt:lpstr>
      <vt:lpstr>schedule14</vt:lpstr>
      <vt:lpstr>schedule15</vt:lpstr>
      <vt:lpstr>'IHSS DETAIL'!Print_Area</vt:lpstr>
      <vt:lpstr>'IHSS SUMMARY'!Print_Area</vt:lpstr>
      <vt:lpstr>schedule13!Print_Area</vt:lpstr>
      <vt:lpstr>schedule14!Print_Area</vt:lpstr>
      <vt:lpstr>'IHSS DETAIL'!Print_Titles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Jennifer Burns</cp:lastModifiedBy>
  <cp:lastPrinted>2019-11-25T17:05:46Z</cp:lastPrinted>
  <dcterms:created xsi:type="dcterms:W3CDTF">2000-02-07T22:37:45Z</dcterms:created>
  <dcterms:modified xsi:type="dcterms:W3CDTF">2019-12-11T16:57:18Z</dcterms:modified>
</cp:coreProperties>
</file>